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ssociationvalentinhauy.sharepoint.com/sites/DGE/Documents partages/ASSEMBLEE GENERALE/2026/AG 17 JUIN 2026/DOCUMENTS/"/>
    </mc:Choice>
  </mc:AlternateContent>
  <xr:revisionPtr revIDLastSave="5" documentId="8_{D74A070E-5A14-4071-B0C8-3CB32F323CD2}" xr6:coauthVersionLast="47" xr6:coauthVersionMax="47" xr10:uidLastSave="{70A18EDC-B44E-4901-8E59-0062C00402AE}"/>
  <bookViews>
    <workbookView xWindow="-120" yWindow="-120" windowWidth="29040" windowHeight="15720" xr2:uid="{40CC2769-7F76-48BC-86D1-52AA43880D70}"/>
  </bookViews>
  <sheets>
    <sheet name="synthese par entite" sheetId="1" r:id="rId1"/>
  </sheets>
  <externalReferences>
    <externalReference r:id="rId2"/>
    <externalReference r:id="rId3"/>
    <externalReference r:id="rId4"/>
    <externalReference r:id="rId5"/>
  </externalReferences>
  <definedNames>
    <definedName name="ACHATS_VT_SMS">#REF!</definedName>
    <definedName name="ameliorations_services">#REF!</definedName>
    <definedName name="AMORT">#REF!</definedName>
    <definedName name="an_encours">#REF!</definedName>
    <definedName name="Annee">#REF!</definedName>
    <definedName name="année_gr_masses2">#REF!</definedName>
    <definedName name="anneeC">#REF!</definedName>
    <definedName name="anneemoins1">#REF!</definedName>
    <definedName name="AnneeN">#REF!</definedName>
    <definedName name="AnneeNMoins1">#REF!</definedName>
    <definedName name="anneeNmoins2">#REF!</definedName>
    <definedName name="AnneeNMoinsUn">#REF!</definedName>
    <definedName name="AnneeNPlusUn">#REF!</definedName>
    <definedName name="APAM">#REF!</definedName>
    <definedName name="AUTRES_CHARGES">#REF!</definedName>
    <definedName name="BudgetAN">#REF!</definedName>
    <definedName name="BudgetIN">#REF!</definedName>
    <definedName name="BudgetINPlusUn">#REF!</definedName>
    <definedName name="CHRG_EXCEP">#REF!</definedName>
    <definedName name="CHRG_FONCT">#REF!</definedName>
    <definedName name="col_som_1">#REF!</definedName>
    <definedName name="date_deb">[1]Parametres!$F$1</definedName>
    <definedName name="date_situ">#REF!</definedName>
    <definedName name="decal1">[1]Parametres!$F$4</definedName>
    <definedName name="decal2">[1]Parametres!$F$5</definedName>
    <definedName name="decal3">[1]Parametres!$F$6</definedName>
    <definedName name="depenses">[2]Trésorerie!$D$16:$K$16</definedName>
    <definedName name="dern_mois">#REF!</definedName>
    <definedName name="dispo_siege">[2]Trésorerie!$C$42</definedName>
    <definedName name="DONS">#REF!</definedName>
    <definedName name="duree">#REF!</definedName>
    <definedName name="ecart">#REF!</definedName>
    <definedName name="Ecart_s">#REF!</definedName>
    <definedName name="ecart_treso">[2]Trésorerie!$D$33:$K$33</definedName>
    <definedName name="Effort_budgetaire">#REF!</definedName>
    <definedName name="encaisse">[2]Trésorerie!$D$32:$L$32</definedName>
    <definedName name="entete_mois">[2]Trésorerie!$D$2:$K$2</definedName>
    <definedName name="entete_prev">#REF!</definedName>
    <definedName name="exercice">[1]Parametres!$F$2</definedName>
    <definedName name="fondation">#REF!</definedName>
    <definedName name="FRAIS">'[3]SERVICE MECENAT'!$A$55</definedName>
    <definedName name="GEST_TITRE">#REF!</definedName>
    <definedName name="horodate">#REF!</definedName>
    <definedName name="INTERIM">#REF!</definedName>
    <definedName name="INVITE_ANNEE">[4]Paramètres!#REF!</definedName>
    <definedName name="larg_entete">#REF!</definedName>
    <definedName name="LEGS">#REF!</definedName>
    <definedName name="lim_ecart">#REF!</definedName>
    <definedName name="limite">#REF!</definedName>
    <definedName name="liste_col">#REF!</definedName>
    <definedName name="Liste_Flux">#REF!</definedName>
    <definedName name="liste_mois">#REF!</definedName>
    <definedName name="Liste_Service">#REF!</definedName>
    <definedName name="mat_gr">#REF!</definedName>
    <definedName name="mat_num_prev">#REF!</definedName>
    <definedName name="mat_serv">#REF!</definedName>
    <definedName name="mat_syn">#REF!</definedName>
    <definedName name="max_li">#REF!</definedName>
    <definedName name="Mois">#REF!</definedName>
    <definedName name="mois_abr">#REF!</definedName>
    <definedName name="nb_mois">#REF!</definedName>
    <definedName name="nom_form_abr">#REF!</definedName>
    <definedName name="nom_gen">#REF!</definedName>
    <definedName name="nom_rep_compl">#REF!</definedName>
    <definedName name="nom_serv">#REF!</definedName>
    <definedName name="num_an">#REF!</definedName>
    <definedName name="opera">#REF!</definedName>
    <definedName name="operatio">#REF!,#REF!,#REF!,#REF!</definedName>
    <definedName name="plan_orientations">#REF!</definedName>
    <definedName name="PRDT_EXCEPT">#REF!</definedName>
    <definedName name="prem_j_pai">#REF!</definedName>
    <definedName name="prem_mois">#REF!</definedName>
    <definedName name="PROD_PRES_PARTI">#REF!</definedName>
    <definedName name="RETRO_CHRG">#REF!</definedName>
    <definedName name="RETRO_PRDT">#REF!</definedName>
    <definedName name="REV_IMMO">#REF!</definedName>
    <definedName name="Reversements">#REF!</definedName>
    <definedName name="RH">#REF!</definedName>
    <definedName name="saisie_cum1">[2]Trésorerie!$C$3:$C$15</definedName>
    <definedName name="saisie_cum2">[2]Trésorerie!$C$17:$C$27</definedName>
    <definedName name="saisie_cum3">[2]Trésorerie!$C$29:$C$31</definedName>
    <definedName name="saisie_T1">[2]Trésorerie!$D$3:$K$15</definedName>
    <definedName name="saisie_T2">[2]Trésorerie!$D$17:$K$27</definedName>
    <definedName name="saisie_T3">[2]Trésorerie!$D$29:$K$31</definedName>
    <definedName name="sem_bnp">#REF!</definedName>
    <definedName name="Serv_Arvert">#REF!</definedName>
    <definedName name="Serv_Comités">#REF!</definedName>
    <definedName name="Serv_CR">#REF!</definedName>
    <definedName name="Serv_Financier">#REF!</definedName>
    <definedName name="Serv_Immo">#REF!</definedName>
    <definedName name="Serv_Legs">#REF!</definedName>
    <definedName name="Serv_ope">#REF!</definedName>
    <definedName name="Service">#REF!</definedName>
    <definedName name="situ">#REF!</definedName>
    <definedName name="sold_bnp">#REF!</definedName>
    <definedName name="SUB_MECE">#REF!</definedName>
    <definedName name="tot_ch_re">#REF!</definedName>
    <definedName name="tot_ch_so">#REF!</definedName>
    <definedName name="tot_ch_su">#REF!</definedName>
    <definedName name="tot_char">#REF!</definedName>
    <definedName name="tot_dep">#REF!</definedName>
    <definedName name="tot_prod">#REF!</definedName>
    <definedName name="tot_rec">#REF!</definedName>
    <definedName name="tot_res_re">#REF!</definedName>
    <definedName name="tot_res_so">#REF!</definedName>
    <definedName name="tot_res_su">#REF!</definedName>
    <definedName name="type_invest">#REF!</definedName>
    <definedName name="VENTES_SMS">#REF!</definedName>
    <definedName name="_xlnm.Print_Area" localSheetId="0">'synthese par entite'!$A$1:$U$41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1" l="1"/>
  <c r="I3" i="1"/>
  <c r="M3" i="1"/>
  <c r="Q3" i="1"/>
  <c r="U3" i="1"/>
  <c r="C4" i="1"/>
  <c r="E4" i="1"/>
  <c r="I4" i="1"/>
  <c r="M4" i="1"/>
  <c r="N4" i="1"/>
  <c r="O4" i="1"/>
  <c r="Q4" i="1" s="1"/>
  <c r="U4" i="1"/>
  <c r="B5" i="1"/>
  <c r="B11" i="1" s="1"/>
  <c r="B14" i="1" s="1"/>
  <c r="C5" i="1"/>
  <c r="E5" i="1"/>
  <c r="E11" i="1" s="1"/>
  <c r="F5" i="1"/>
  <c r="F11" i="1" s="1"/>
  <c r="F14" i="1" s="1"/>
  <c r="G5" i="1"/>
  <c r="I5" i="1"/>
  <c r="J5" i="1"/>
  <c r="J11" i="1" s="1"/>
  <c r="J29" i="1" s="1"/>
  <c r="K5" i="1"/>
  <c r="M5" i="1"/>
  <c r="N5" i="1"/>
  <c r="N11" i="1" s="1"/>
  <c r="N14" i="1" s="1"/>
  <c r="O5" i="1"/>
  <c r="R5" i="1"/>
  <c r="R11" i="1" s="1"/>
  <c r="S5" i="1"/>
  <c r="U5" i="1"/>
  <c r="E6" i="1"/>
  <c r="I6" i="1"/>
  <c r="M6" i="1"/>
  <c r="Q6" i="1"/>
  <c r="U6" i="1"/>
  <c r="E7" i="1"/>
  <c r="G7" i="1"/>
  <c r="G11" i="1" s="1"/>
  <c r="G14" i="1" s="1"/>
  <c r="K7" i="1"/>
  <c r="M7" i="1"/>
  <c r="Q7" i="1"/>
  <c r="R7" i="1"/>
  <c r="S7" i="1"/>
  <c r="S11" i="1" s="1"/>
  <c r="S14" i="1" s="1"/>
  <c r="E8" i="1"/>
  <c r="I8" i="1"/>
  <c r="M8" i="1"/>
  <c r="Q8" i="1"/>
  <c r="U8" i="1"/>
  <c r="E9" i="1"/>
  <c r="I9" i="1"/>
  <c r="M9" i="1"/>
  <c r="Q9" i="1"/>
  <c r="U9" i="1"/>
  <c r="E10" i="1"/>
  <c r="I10" i="1"/>
  <c r="M10" i="1"/>
  <c r="Q10" i="1"/>
  <c r="U10" i="1"/>
  <c r="C11" i="1"/>
  <c r="C14" i="1" s="1"/>
  <c r="D11" i="1"/>
  <c r="H11" i="1"/>
  <c r="K11" i="1"/>
  <c r="M11" i="1"/>
  <c r="O11" i="1"/>
  <c r="P11" i="1"/>
  <c r="P14" i="1" s="1"/>
  <c r="T11" i="1"/>
  <c r="E12" i="1"/>
  <c r="E13" i="1" s="1"/>
  <c r="I12" i="1"/>
  <c r="M12" i="1"/>
  <c r="Q12" i="1"/>
  <c r="U12" i="1"/>
  <c r="B13" i="1"/>
  <c r="C13" i="1"/>
  <c r="D13" i="1"/>
  <c r="F13" i="1"/>
  <c r="G13" i="1"/>
  <c r="H13" i="1"/>
  <c r="H14" i="1" s="1"/>
  <c r="I13" i="1"/>
  <c r="M13" i="1"/>
  <c r="N13" i="1"/>
  <c r="O13" i="1"/>
  <c r="P13" i="1"/>
  <c r="Q13" i="1"/>
  <c r="R13" i="1"/>
  <c r="S13" i="1"/>
  <c r="T13" i="1"/>
  <c r="T29" i="1" s="1"/>
  <c r="U13" i="1"/>
  <c r="D14" i="1"/>
  <c r="M14" i="1"/>
  <c r="O14" i="1"/>
  <c r="E16" i="1"/>
  <c r="F16" i="1"/>
  <c r="G16" i="1"/>
  <c r="I16" i="1"/>
  <c r="M16" i="1"/>
  <c r="Q16" i="1"/>
  <c r="U16" i="1"/>
  <c r="E17" i="1"/>
  <c r="F17" i="1"/>
  <c r="G17" i="1"/>
  <c r="I17" i="1" s="1"/>
  <c r="M17" i="1"/>
  <c r="M22" i="1" s="1"/>
  <c r="Q17" i="1"/>
  <c r="U17" i="1"/>
  <c r="E18" i="1"/>
  <c r="E22" i="1" s="1"/>
  <c r="F18" i="1"/>
  <c r="F22" i="1" s="1"/>
  <c r="G18" i="1"/>
  <c r="I18" i="1"/>
  <c r="M18" i="1"/>
  <c r="N18" i="1"/>
  <c r="Q18" i="1"/>
  <c r="R18" i="1"/>
  <c r="S18" i="1"/>
  <c r="U18" i="1"/>
  <c r="U22" i="1" s="1"/>
  <c r="E19" i="1"/>
  <c r="F19" i="1"/>
  <c r="G19" i="1"/>
  <c r="I19" i="1"/>
  <c r="M19" i="1"/>
  <c r="N19" i="1"/>
  <c r="Q19" i="1" s="1"/>
  <c r="O19" i="1"/>
  <c r="U19" i="1"/>
  <c r="S20" i="1"/>
  <c r="S22" i="1" s="1"/>
  <c r="E21" i="1"/>
  <c r="F21" i="1"/>
  <c r="I21" i="1" s="1"/>
  <c r="G21" i="1"/>
  <c r="M21" i="1"/>
  <c r="Q21" i="1"/>
  <c r="B22" i="1"/>
  <c r="C22" i="1"/>
  <c r="C29" i="1" s="1"/>
  <c r="D22" i="1"/>
  <c r="G22" i="1"/>
  <c r="H22" i="1"/>
  <c r="O22" i="1"/>
  <c r="P22" i="1"/>
  <c r="R22" i="1"/>
  <c r="T22" i="1"/>
  <c r="E23" i="1"/>
  <c r="E28" i="1" s="1"/>
  <c r="E29" i="1" s="1"/>
  <c r="E31" i="1" s="1"/>
  <c r="Q23" i="1"/>
  <c r="E24" i="1"/>
  <c r="I24" i="1"/>
  <c r="I28" i="1" s="1"/>
  <c r="M24" i="1"/>
  <c r="Q24" i="1"/>
  <c r="U24" i="1"/>
  <c r="U28" i="1" s="1"/>
  <c r="E25" i="1"/>
  <c r="G25" i="1"/>
  <c r="I25" i="1" s="1"/>
  <c r="M25" i="1"/>
  <c r="Q25" i="1"/>
  <c r="U25" i="1"/>
  <c r="E26" i="1"/>
  <c r="G26" i="1"/>
  <c r="I26" i="1" s="1"/>
  <c r="M26" i="1"/>
  <c r="Q26" i="1"/>
  <c r="U26" i="1"/>
  <c r="E27" i="1"/>
  <c r="I27" i="1"/>
  <c r="M27" i="1"/>
  <c r="Q27" i="1"/>
  <c r="U27" i="1"/>
  <c r="B28" i="1"/>
  <c r="B29" i="1" s="1"/>
  <c r="C28" i="1"/>
  <c r="D28" i="1"/>
  <c r="D29" i="1" s="1"/>
  <c r="F28" i="1"/>
  <c r="H28" i="1"/>
  <c r="H29" i="1" s="1"/>
  <c r="M28" i="1"/>
  <c r="N28" i="1"/>
  <c r="O28" i="1"/>
  <c r="P28" i="1"/>
  <c r="P29" i="1" s="1"/>
  <c r="Q28" i="1"/>
  <c r="R28" i="1"/>
  <c r="S28" i="1"/>
  <c r="S29" i="1" s="1"/>
  <c r="T28" i="1"/>
  <c r="K29" i="1"/>
  <c r="L29" i="1"/>
  <c r="O29" i="1"/>
  <c r="B33" i="1"/>
  <c r="N33" i="1"/>
  <c r="B35" i="1"/>
  <c r="E35" i="1" s="1"/>
  <c r="E41" i="1" s="1"/>
  <c r="I35" i="1"/>
  <c r="M35" i="1"/>
  <c r="M41" i="1" s="1"/>
  <c r="Q35" i="1"/>
  <c r="U35" i="1"/>
  <c r="U41" i="1" s="1"/>
  <c r="E36" i="1"/>
  <c r="I36" i="1"/>
  <c r="M36" i="1"/>
  <c r="Q36" i="1"/>
  <c r="U36" i="1"/>
  <c r="J37" i="1"/>
  <c r="M37" i="1"/>
  <c r="Q37" i="1"/>
  <c r="U37" i="1"/>
  <c r="B38" i="1"/>
  <c r="E38" i="1"/>
  <c r="I38" i="1"/>
  <c r="I41" i="1" s="1"/>
  <c r="M38" i="1"/>
  <c r="N38" i="1"/>
  <c r="Q38" i="1"/>
  <c r="U38" i="1"/>
  <c r="E39" i="1"/>
  <c r="I39" i="1"/>
  <c r="M39" i="1"/>
  <c r="Q39" i="1"/>
  <c r="U39" i="1"/>
  <c r="E40" i="1"/>
  <c r="F40" i="1"/>
  <c r="F41" i="1" s="1"/>
  <c r="I40" i="1"/>
  <c r="M40" i="1"/>
  <c r="Q40" i="1"/>
  <c r="U40" i="1"/>
  <c r="C41" i="1"/>
  <c r="D41" i="1"/>
  <c r="G41" i="1"/>
  <c r="H41" i="1"/>
  <c r="J41" i="1"/>
  <c r="K41" i="1"/>
  <c r="L41" i="1"/>
  <c r="N41" i="1"/>
  <c r="O41" i="1"/>
  <c r="P41" i="1"/>
  <c r="Q41" i="1"/>
  <c r="R41" i="1"/>
  <c r="S41" i="1"/>
  <c r="T41" i="1"/>
  <c r="I22" i="1" l="1"/>
  <c r="Q5" i="1"/>
  <c r="Q11" i="1" s="1"/>
  <c r="Q14" i="1" s="1"/>
  <c r="I29" i="1"/>
  <c r="I31" i="1" s="1"/>
  <c r="E14" i="1"/>
  <c r="M29" i="1"/>
  <c r="M31" i="1" s="1"/>
  <c r="R29" i="1"/>
  <c r="F29" i="1"/>
  <c r="Q22" i="1"/>
  <c r="Q29" i="1" s="1"/>
  <c r="Q31" i="1" s="1"/>
  <c r="R14" i="1"/>
  <c r="T14" i="1"/>
  <c r="U7" i="1"/>
  <c r="U11" i="1" s="1"/>
  <c r="U14" i="1" s="1"/>
  <c r="I7" i="1"/>
  <c r="I11" i="1" s="1"/>
  <c r="I14" i="1" s="1"/>
  <c r="B41" i="1"/>
  <c r="G28" i="1"/>
  <c r="G29" i="1" s="1"/>
  <c r="N22" i="1"/>
  <c r="N29" i="1" s="1"/>
  <c r="U29" i="1" l="1"/>
  <c r="U31" i="1" s="1"/>
</calcChain>
</file>

<file path=xl/sharedStrings.xml><?xml version="1.0" encoding="utf-8"?>
<sst xmlns="http://schemas.openxmlformats.org/spreadsheetml/2006/main" count="91" uniqueCount="51">
  <si>
    <t>TOTAL INVESTISSEMENTS</t>
  </si>
  <si>
    <t>PROJETS IMMOBILIERS</t>
  </si>
  <si>
    <t>TRAVAUX RUE DUROC</t>
  </si>
  <si>
    <t>AVH</t>
  </si>
  <si>
    <t>Emprunts / Cessions</t>
  </si>
  <si>
    <t>subventions</t>
  </si>
  <si>
    <t>montant</t>
  </si>
  <si>
    <t>INVESTISSEMENTS IMMOBILISABLES</t>
  </si>
  <si>
    <t>Budget 2026</t>
  </si>
  <si>
    <t>Anticipé 2025</t>
  </si>
  <si>
    <t>Budget 2025</t>
  </si>
  <si>
    <t xml:space="preserve"> répartition des dons IFI  pour les 2 établissements CDTD et Villette : CDTD : 35 K€ ; VILLETTE 114K€</t>
  </si>
  <si>
    <t>Réalisé 2025</t>
  </si>
  <si>
    <t>Réalisé 2024</t>
  </si>
  <si>
    <t>TOTAL (TOTAL 1 + TOTAL 2 + TOTAL 3 + TOTAL 4)</t>
  </si>
  <si>
    <t>TOTAL 4 - "Sections de production"</t>
  </si>
  <si>
    <t>- Entreprise adaptée ATELIERS DE NANTES</t>
  </si>
  <si>
    <t>- Entreprise adaptée de la VILLETTE</t>
  </si>
  <si>
    <t>- Production ESCOLORE</t>
  </si>
  <si>
    <t>- Production O.WITKOWSKA</t>
  </si>
  <si>
    <t xml:space="preserve">Sections de production </t>
  </si>
  <si>
    <t>TOTAL 3 - "Etablissements sous tutelle ACT"</t>
  </si>
  <si>
    <t>- SAVS DV - SAMSAH DV PARIS</t>
  </si>
  <si>
    <t>- SASAI DV NOUMEA</t>
  </si>
  <si>
    <t>- ESAT ESCOLORE</t>
  </si>
  <si>
    <t>- ESAT O.WITKOWSKA</t>
  </si>
  <si>
    <t>- IMPRO CHILLY-MAZARIN</t>
  </si>
  <si>
    <t>- CFRP</t>
  </si>
  <si>
    <t>Etablissements placés sous les Autorités de Contrôle et de Tarification</t>
  </si>
  <si>
    <t>Sous- total : Total 1 +Total 2</t>
  </si>
  <si>
    <t>TOTAL 2 - "Centre Résidentiel"</t>
  </si>
  <si>
    <t>- Centre Résidentiel</t>
  </si>
  <si>
    <t>TOTAL 1 - "Regroupement Siège hors Centre Résidentiel"</t>
  </si>
  <si>
    <t>CESSIONS IMMOBILIERES</t>
  </si>
  <si>
    <t>- APAM (Comité IDF et Locomotion)</t>
  </si>
  <si>
    <t>- Contributions Fondation Valentin Haüy (fiches annuelles)</t>
  </si>
  <si>
    <t>- Résultat du patrimoine immobilier et financier</t>
  </si>
  <si>
    <t>- Service des Legs</t>
  </si>
  <si>
    <t>Sous- total intermédiaire</t>
  </si>
  <si>
    <t>- Comités Valentin Haüy</t>
  </si>
  <si>
    <t>- Siège (opérationnel)</t>
  </si>
  <si>
    <t>Résultat</t>
  </si>
  <si>
    <t>Reprise résultat  
N-2</t>
  </si>
  <si>
    <t>Produits</t>
  </si>
  <si>
    <t>Charges</t>
  </si>
  <si>
    <t>* après affectation dons IFI aux établissements</t>
  </si>
  <si>
    <t>Unité</t>
  </si>
  <si>
    <t>SIÈGE</t>
  </si>
  <si>
    <t>COMITÉS</t>
  </si>
  <si>
    <t>ACQUISITIONS/ CESSIONS IMMOBILIÈRES</t>
  </si>
  <si>
    <t>ÉTABLISSEMENTS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</si>
</sst>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88">
    <xf numFmtId="0" fontId="0" fillId="0" borderId="0" xfId="0"/>
    <xf numFmtId="0" fontId="2" fillId="0" borderId="0" xfId="2" applyFont="1"/>
    <xf numFmtId="0" fontId="3" fillId="0" borderId="0" xfId="3"/>
    <xf numFmtId="0" fontId="2" fillId="0" borderId="0" xfId="2" applyFont="1" applyAlignment="1">
      <alignment vertical="center"/>
    </xf>
    <xf numFmtId="3" fontId="4" fillId="2" borderId="1" xfId="1" applyNumberFormat="1" applyFont="1" applyFill="1" applyBorder="1" applyAlignment="1">
      <alignment horizontal="right" vertical="center"/>
    </xf>
    <xf numFmtId="0" fontId="4" fillId="2" borderId="1" xfId="2" applyFont="1" applyFill="1" applyBorder="1" applyAlignment="1">
      <alignment vertical="center"/>
    </xf>
    <xf numFmtId="3" fontId="2" fillId="0" borderId="2" xfId="1" applyNumberFormat="1" applyFont="1" applyBorder="1" applyAlignment="1">
      <alignment horizontal="right" vertical="center"/>
    </xf>
    <xf numFmtId="3" fontId="2" fillId="0" borderId="3" xfId="1" applyNumberFormat="1" applyFont="1" applyBorder="1" applyAlignment="1">
      <alignment horizontal="right" vertical="center"/>
    </xf>
    <xf numFmtId="0" fontId="2" fillId="0" borderId="4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3" fontId="2" fillId="0" borderId="5" xfId="1" applyNumberFormat="1" applyFont="1" applyBorder="1" applyAlignment="1">
      <alignment horizontal="right" vertical="center"/>
    </xf>
    <xf numFmtId="0" fontId="2" fillId="0" borderId="5" xfId="2" applyFont="1" applyBorder="1" applyAlignment="1">
      <alignment vertical="center"/>
    </xf>
    <xf numFmtId="3" fontId="2" fillId="0" borderId="6" xfId="1" applyNumberFormat="1" applyFont="1" applyBorder="1" applyAlignment="1">
      <alignment horizontal="right" vertical="center"/>
    </xf>
    <xf numFmtId="0" fontId="2" fillId="0" borderId="7" xfId="2" applyFont="1" applyBorder="1" applyAlignment="1">
      <alignment vertical="center"/>
    </xf>
    <xf numFmtId="3" fontId="4" fillId="3" borderId="1" xfId="2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center" wrapText="1"/>
    </xf>
    <xf numFmtId="0" fontId="5" fillId="5" borderId="8" xfId="3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vertical="center"/>
    </xf>
    <xf numFmtId="0" fontId="5" fillId="3" borderId="8" xfId="3" applyFont="1" applyFill="1" applyBorder="1" applyAlignment="1">
      <alignment horizontal="center" vertical="center"/>
    </xf>
    <xf numFmtId="0" fontId="5" fillId="3" borderId="10" xfId="3" applyFont="1" applyFill="1" applyBorder="1" applyAlignment="1">
      <alignment horizontal="center" vertical="center"/>
    </xf>
    <xf numFmtId="3" fontId="4" fillId="0" borderId="0" xfId="4" applyNumberFormat="1" applyFont="1"/>
    <xf numFmtId="0" fontId="4" fillId="0" borderId="0" xfId="4" applyFont="1" applyAlignment="1">
      <alignment horizontal="center"/>
    </xf>
    <xf numFmtId="3" fontId="4" fillId="0" borderId="0" xfId="2" applyNumberFormat="1" applyFont="1"/>
    <xf numFmtId="0" fontId="4" fillId="0" borderId="0" xfId="2" applyFont="1" applyAlignment="1">
      <alignment horizontal="center"/>
    </xf>
    <xf numFmtId="0" fontId="6" fillId="0" borderId="0" xfId="2" applyFont="1" applyAlignment="1">
      <alignment horizontal="left" vertical="center" wrapText="1"/>
    </xf>
    <xf numFmtId="3" fontId="4" fillId="2" borderId="1" xfId="2" applyNumberFormat="1" applyFont="1" applyFill="1" applyBorder="1"/>
    <xf numFmtId="3" fontId="4" fillId="2" borderId="4" xfId="4" applyNumberFormat="1" applyFont="1" applyFill="1" applyBorder="1"/>
    <xf numFmtId="0" fontId="2" fillId="0" borderId="2" xfId="2" applyFont="1" applyBorder="1"/>
    <xf numFmtId="0" fontId="2" fillId="0" borderId="2" xfId="4" applyFont="1" applyBorder="1"/>
    <xf numFmtId="3" fontId="5" fillId="2" borderId="1" xfId="3" applyNumberFormat="1" applyFont="1" applyFill="1" applyBorder="1" applyAlignment="1">
      <alignment vertical="center"/>
    </xf>
    <xf numFmtId="0" fontId="5" fillId="2" borderId="10" xfId="3" applyFont="1" applyFill="1" applyBorder="1" applyAlignment="1">
      <alignment vertical="center"/>
    </xf>
    <xf numFmtId="0" fontId="5" fillId="0" borderId="0" xfId="3" applyFont="1" applyAlignment="1">
      <alignment vertical="center"/>
    </xf>
    <xf numFmtId="3" fontId="5" fillId="6" borderId="4" xfId="3" applyNumberFormat="1" applyFont="1" applyFill="1" applyBorder="1" applyAlignment="1">
      <alignment vertical="center"/>
    </xf>
    <xf numFmtId="3" fontId="5" fillId="6" borderId="5" xfId="3" applyNumberFormat="1" applyFont="1" applyFill="1" applyBorder="1" applyAlignment="1">
      <alignment vertical="center"/>
    </xf>
    <xf numFmtId="0" fontId="5" fillId="6" borderId="13" xfId="3" applyFont="1" applyFill="1" applyBorder="1" applyAlignment="1">
      <alignment horizontal="left" vertical="center"/>
    </xf>
    <xf numFmtId="0" fontId="7" fillId="0" borderId="0" xfId="3" applyFont="1" applyAlignment="1">
      <alignment vertical="center"/>
    </xf>
    <xf numFmtId="3" fontId="7" fillId="0" borderId="5" xfId="3" applyNumberFormat="1" applyFont="1" applyBorder="1" applyAlignment="1">
      <alignment vertical="center"/>
    </xf>
    <xf numFmtId="3" fontId="7" fillId="0" borderId="3" xfId="3" applyNumberFormat="1" applyFont="1" applyBorder="1" applyAlignment="1">
      <alignment vertical="center"/>
    </xf>
    <xf numFmtId="0" fontId="7" fillId="0" borderId="14" xfId="3" quotePrefix="1" applyFont="1" applyBorder="1" applyAlignment="1">
      <alignment vertical="center"/>
    </xf>
    <xf numFmtId="0" fontId="5" fillId="0" borderId="14" xfId="3" applyFont="1" applyBorder="1" applyAlignment="1">
      <alignment horizontal="center" vertical="center"/>
    </xf>
    <xf numFmtId="0" fontId="5" fillId="6" borderId="14" xfId="3" applyFont="1" applyFill="1" applyBorder="1" applyAlignment="1">
      <alignment horizontal="left" vertical="center"/>
    </xf>
    <xf numFmtId="3" fontId="7" fillId="7" borderId="5" xfId="3" applyNumberFormat="1" applyFont="1" applyFill="1" applyBorder="1" applyAlignment="1">
      <alignment vertical="center"/>
    </xf>
    <xf numFmtId="0" fontId="7" fillId="7" borderId="14" xfId="3" quotePrefix="1" applyFont="1" applyFill="1" applyBorder="1" applyAlignment="1">
      <alignment vertical="center"/>
    </xf>
    <xf numFmtId="3" fontId="7" fillId="0" borderId="6" xfId="3" applyNumberFormat="1" applyFont="1" applyBorder="1" applyAlignment="1">
      <alignment vertical="center"/>
    </xf>
    <xf numFmtId="0" fontId="5" fillId="0" borderId="15" xfId="3" applyFont="1" applyBorder="1" applyAlignment="1">
      <alignment horizontal="center" vertical="center" wrapText="1"/>
    </xf>
    <xf numFmtId="0" fontId="4" fillId="0" borderId="0" xfId="2" applyFont="1"/>
    <xf numFmtId="3" fontId="4" fillId="2" borderId="1" xfId="3" applyNumberFormat="1" applyFont="1" applyFill="1" applyBorder="1" applyAlignment="1">
      <alignment vertical="center"/>
    </xf>
    <xf numFmtId="0" fontId="5" fillId="2" borderId="10" xfId="3" quotePrefix="1" applyFont="1" applyFill="1" applyBorder="1" applyAlignment="1">
      <alignment horizontal="left" vertical="center" wrapText="1"/>
    </xf>
    <xf numFmtId="3" fontId="5" fillId="6" borderId="3" xfId="3" applyNumberFormat="1" applyFont="1" applyFill="1" applyBorder="1" applyAlignment="1">
      <alignment vertical="center"/>
    </xf>
    <xf numFmtId="0" fontId="5" fillId="6" borderId="16" xfId="3" applyFont="1" applyFill="1" applyBorder="1" applyAlignment="1">
      <alignment horizontal="left" vertical="center"/>
    </xf>
    <xf numFmtId="3" fontId="2" fillId="0" borderId="5" xfId="3" applyNumberFormat="1" applyFont="1" applyBorder="1" applyAlignment="1">
      <alignment vertical="center"/>
    </xf>
    <xf numFmtId="3" fontId="2" fillId="0" borderId="6" xfId="3" applyNumberFormat="1" applyFont="1" applyBorder="1" applyAlignment="1">
      <alignment vertical="center"/>
    </xf>
    <xf numFmtId="3" fontId="7" fillId="0" borderId="15" xfId="3" applyNumberFormat="1" applyFont="1" applyBorder="1" applyAlignment="1">
      <alignment vertical="center"/>
    </xf>
    <xf numFmtId="3" fontId="5" fillId="6" borderId="17" xfId="3" applyNumberFormat="1" applyFont="1" applyFill="1" applyBorder="1" applyAlignment="1">
      <alignment vertical="center"/>
    </xf>
    <xf numFmtId="3" fontId="5" fillId="6" borderId="14" xfId="3" applyNumberFormat="1" applyFont="1" applyFill="1" applyBorder="1" applyAlignment="1">
      <alignment vertical="center"/>
    </xf>
    <xf numFmtId="3" fontId="2" fillId="8" borderId="5" xfId="3" applyNumberFormat="1" applyFont="1" applyFill="1" applyBorder="1" applyAlignment="1">
      <alignment vertical="center"/>
    </xf>
    <xf numFmtId="3" fontId="7" fillId="8" borderId="5" xfId="3" applyNumberFormat="1" applyFont="1" applyFill="1" applyBorder="1" applyAlignment="1">
      <alignment vertical="center"/>
    </xf>
    <xf numFmtId="0" fontId="5" fillId="8" borderId="14" xfId="3" quotePrefix="1" applyFont="1" applyFill="1" applyBorder="1" applyAlignment="1">
      <alignment horizontal="left" vertical="center" wrapText="1"/>
    </xf>
    <xf numFmtId="3" fontId="5" fillId="8" borderId="5" xfId="3" applyNumberFormat="1" applyFont="1" applyFill="1" applyBorder="1" applyAlignment="1">
      <alignment vertical="center"/>
    </xf>
    <xf numFmtId="0" fontId="5" fillId="8" borderId="14" xfId="3" applyFont="1" applyFill="1" applyBorder="1" applyAlignment="1">
      <alignment horizontal="left" vertical="center"/>
    </xf>
    <xf numFmtId="3" fontId="7" fillId="0" borderId="7" xfId="3" applyNumberFormat="1" applyFont="1" applyBorder="1" applyAlignment="1">
      <alignment vertical="center"/>
    </xf>
    <xf numFmtId="3" fontId="2" fillId="0" borderId="7" xfId="3" applyNumberFormat="1" applyFont="1" applyBorder="1" applyAlignment="1">
      <alignment vertical="center"/>
    </xf>
    <xf numFmtId="0" fontId="7" fillId="0" borderId="15" xfId="3" quotePrefix="1" applyFont="1" applyBorder="1" applyAlignment="1">
      <alignment vertical="center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/>
    </xf>
    <xf numFmtId="0" fontId="5" fillId="5" borderId="1" xfId="3" applyFont="1" applyFill="1" applyBorder="1" applyAlignment="1">
      <alignment horizontal="center" vertical="center"/>
    </xf>
    <xf numFmtId="0" fontId="5" fillId="5" borderId="8" xfId="3" applyFont="1" applyFill="1" applyBorder="1" applyAlignment="1">
      <alignment horizontal="center" vertical="center"/>
    </xf>
    <xf numFmtId="0" fontId="5" fillId="4" borderId="10" xfId="3" applyFont="1" applyFill="1" applyBorder="1" applyAlignment="1">
      <alignment horizontal="center" vertical="center"/>
    </xf>
    <xf numFmtId="0" fontId="5" fillId="4" borderId="9" xfId="3" applyFont="1" applyFill="1" applyBorder="1" applyAlignment="1">
      <alignment horizontal="center" vertical="center"/>
    </xf>
    <xf numFmtId="0" fontId="5" fillId="4" borderId="8" xfId="3" applyFont="1" applyFill="1" applyBorder="1" applyAlignment="1">
      <alignment horizontal="center" vertical="center"/>
    </xf>
    <xf numFmtId="0" fontId="5" fillId="5" borderId="9" xfId="3" applyFont="1" applyFill="1" applyBorder="1" applyAlignment="1">
      <alignment horizontal="center" vertical="center" wrapText="1"/>
    </xf>
    <xf numFmtId="0" fontId="5" fillId="5" borderId="8" xfId="3" applyFont="1" applyFill="1" applyBorder="1" applyAlignment="1">
      <alignment horizontal="center" vertical="center" wrapText="1"/>
    </xf>
    <xf numFmtId="0" fontId="5" fillId="3" borderId="9" xfId="3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/>
    </xf>
    <xf numFmtId="0" fontId="5" fillId="3" borderId="9" xfId="3" applyFont="1" applyFill="1" applyBorder="1" applyAlignment="1">
      <alignment horizontal="center" vertical="center"/>
    </xf>
    <xf numFmtId="0" fontId="5" fillId="3" borderId="8" xfId="3" applyFont="1" applyFill="1" applyBorder="1" applyAlignment="1">
      <alignment horizontal="center" vertical="center"/>
    </xf>
    <xf numFmtId="3" fontId="4" fillId="2" borderId="13" xfId="4" applyNumberFormat="1" applyFont="1" applyFill="1" applyBorder="1" applyAlignment="1">
      <alignment horizontal="center"/>
    </xf>
    <xf numFmtId="3" fontId="4" fillId="2" borderId="12" xfId="4" applyNumberFormat="1" applyFont="1" applyFill="1" applyBorder="1" applyAlignment="1">
      <alignment horizontal="center"/>
    </xf>
    <xf numFmtId="3" fontId="4" fillId="2" borderId="11" xfId="4" applyNumberFormat="1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/>
    </xf>
    <xf numFmtId="0" fontId="4" fillId="2" borderId="9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10" xfId="4" applyFont="1" applyFill="1" applyBorder="1" applyAlignment="1">
      <alignment horizontal="center"/>
    </xf>
    <xf numFmtId="0" fontId="4" fillId="2" borderId="9" xfId="4" applyFont="1" applyFill="1" applyBorder="1" applyAlignment="1">
      <alignment horizontal="center"/>
    </xf>
    <xf numFmtId="0" fontId="4" fillId="2" borderId="8" xfId="4" applyFont="1" applyFill="1" applyBorder="1" applyAlignment="1">
      <alignment horizontal="center"/>
    </xf>
  </cellXfs>
  <cellStyles count="5">
    <cellStyle name="Milliers" xfId="1" builtinId="3"/>
    <cellStyle name="Normal" xfId="0" builtinId="0"/>
    <cellStyle name="Normal 2 2 2" xfId="3" xr:uid="{0C27F565-2073-4536-AF9C-29DE3CE146B6}"/>
    <cellStyle name="Normal 5 3 3" xfId="2" xr:uid="{A7D3A4E9-C3C3-4B0B-BD7D-D06DA5985067}"/>
    <cellStyle name="Normal 5 3 3 2" xfId="4" xr:uid="{68C48173-FB2A-4047-BFD2-D6B006AF99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mptabilite_site/Documents%20partages/commun/2026/BNP%20-%20CCP%20-%20SOCIETE%20GENERALE/TRESORERIE%20SIEGE/Tableau%20tr&#233;sorerie%202026%20MPTV2.0.xlsm" TargetMode="External"/><Relationship Id="rId2" Type="http://schemas.openxmlformats.org/officeDocument/2006/relationships/externalLinkPath" Target="https://associationvalentinhauy.sharepoint.com/sites/Comptabilite_site/Documents%20partages/commun/2026/BNP%20-%20CCP%20-%20SOCIETE%20GENERALE/TRESORERIE%20SIEGE/Tableau%20tr&#233;sorerie%202026%20MPTV2.0.xlsm" TargetMode="External"/><Relationship Id="rId1" Type="http://schemas.openxmlformats.org/officeDocument/2006/relationships/externalLinkPath" Target="/sites/Comptabilite_site/Documents%20partages/commun/2026/BNP%20-%20CCP%20-%20SOCIETE%20GENERALE/TRESORERIE%20SIEGE/Tableau%20tr&#233;sorerie%202026%20MPTV2.0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mptabilite_site/Documents%20partages/Gestion/Arr&#234;t&#233;%202025/bilan/envoye-bureau/resultat_avh%202025_ca200526.xlsm" TargetMode="External"/><Relationship Id="rId2" Type="http://schemas.openxmlformats.org/officeDocument/2006/relationships/externalLinkPath" Target="https://associationvalentinhauy.sharepoint.com/sites/Comptabilite_site/Documents%20partages/Gestion/Arr&#234;t&#233;%202025/bilan/envoye-bureau/resultat_avh%202025_ca200526.xlsm" TargetMode="External"/><Relationship Id="rId1" Type="http://schemas.openxmlformats.org/officeDocument/2006/relationships/externalLinkPath" Target="/sites/Comptabilite_site/Documents%20partages/Gestion/Arr&#234;t&#233;%202025/bilan/envoye-bureau/resultat_avh%202025_ca200526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mptabilite_site/Documents%20partages/Gestion/Arr&#234;t&#233;%202025/CER-CROD/CER+CROD+frais%20d%20etablissement%20-%20mecenat%202025.xlsx" TargetMode="External"/><Relationship Id="rId2" Type="http://schemas.openxmlformats.org/officeDocument/2006/relationships/externalLinkPath" Target="https://associationvalentinhauy.sharepoint.com/sites/Comptabilite_site/Documents%20partages/Gestion/Arr&#234;t&#233;%202025/CER-CROD/CER+CROD+frais%20d%20etablissement%20-%20mecenat%202025.xlsx" TargetMode="External"/><Relationship Id="rId1" Type="http://schemas.openxmlformats.org/officeDocument/2006/relationships/externalLinkPath" Target="/sites/Comptabilite_site/Documents%20partages/Gestion/Arr&#234;t&#233;%202025/CER-CROD/CER+CROD+frais%20d%20etablissement%20-%20mecenat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mptabilite_site/Documents%20partages/commun/2022/BILAN/dossier%20de%20travail%20et%20editions/BE%20-%20bilan%20et%20cr%202022.xlsx" TargetMode="External"/><Relationship Id="rId2" Type="http://schemas.openxmlformats.org/officeDocument/2006/relationships/externalLinkPath" Target="https://associationvalentinhauy.sharepoint.com/sites/Comptabilite_site/Documents%20partages/commun/2022/BILAN/dossier%20de%20travail%20et%20editions/BE%20-%20bilan%20et%20cr%202022.xlsx" TargetMode="External"/><Relationship Id="rId1" Type="http://schemas.openxmlformats.org/officeDocument/2006/relationships/externalLinkPath" Target="/sites/Comptabilite_site/Documents%20partages/commun/2022/BILAN/dossier%20de%20travail%20et%20editions/BE%20-%20bilan%20et%20c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résorerie Duroc"/>
      <sheetName val="Parametres"/>
      <sheetName val="Tableau trésorerie 2026 MPTV2"/>
    </sheetNames>
    <sheetDataSet>
      <sheetData sheetId="0"/>
      <sheetData sheetId="1">
        <row r="1">
          <cell r="F1">
            <v>46143</v>
          </cell>
        </row>
        <row r="2">
          <cell r="F2">
            <v>2026</v>
          </cell>
        </row>
        <row r="4">
          <cell r="F4">
            <v>2</v>
          </cell>
        </row>
        <row r="5">
          <cell r="F5">
            <v>16</v>
          </cell>
        </row>
        <row r="6">
          <cell r="F6">
            <v>28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r_Gr masses SIEGE "/>
      <sheetName val="SOMMAIRE"/>
      <sheetName val="synthese par entite"/>
      <sheetName val="Gr. Masses SIEGE"/>
      <sheetName val="ACTIF"/>
      <sheetName val="PASSIF"/>
      <sheetName val="RESULTAT"/>
      <sheetName val="CROD"/>
      <sheetName val="CER"/>
      <sheetName val="investissements SIEGE"/>
      <sheetName val="Trésoreri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9">
          <cell r="F49">
            <v>345510</v>
          </cell>
        </row>
      </sheetData>
      <sheetData sheetId="10">
        <row r="2">
          <cell r="D2">
            <v>46143</v>
          </cell>
          <cell r="E2">
            <v>46174</v>
          </cell>
          <cell r="F2">
            <v>46204</v>
          </cell>
          <cell r="G2">
            <v>46235</v>
          </cell>
          <cell r="H2">
            <v>46266</v>
          </cell>
          <cell r="I2">
            <v>46296</v>
          </cell>
          <cell r="J2">
            <v>46327</v>
          </cell>
          <cell r="K2">
            <v>46357</v>
          </cell>
        </row>
        <row r="3">
          <cell r="C3">
            <v>3054</v>
          </cell>
          <cell r="D3">
            <v>600</v>
          </cell>
          <cell r="E3">
            <v>600</v>
          </cell>
          <cell r="F3">
            <v>600</v>
          </cell>
          <cell r="G3">
            <v>420</v>
          </cell>
          <cell r="H3">
            <v>800</v>
          </cell>
          <cell r="I3">
            <v>600</v>
          </cell>
          <cell r="J3">
            <v>800</v>
          </cell>
          <cell r="K3">
            <v>800</v>
          </cell>
        </row>
        <row r="4">
          <cell r="C4">
            <v>61</v>
          </cell>
          <cell r="D4">
            <v>100</v>
          </cell>
          <cell r="E4">
            <v>100</v>
          </cell>
        </row>
        <row r="5">
          <cell r="C5">
            <v>0</v>
          </cell>
        </row>
        <row r="6">
          <cell r="C6">
            <v>54</v>
          </cell>
          <cell r="D6">
            <v>80</v>
          </cell>
          <cell r="E6">
            <v>80</v>
          </cell>
          <cell r="F6">
            <v>80</v>
          </cell>
          <cell r="G6">
            <v>80</v>
          </cell>
          <cell r="H6">
            <v>80</v>
          </cell>
          <cell r="I6">
            <v>80</v>
          </cell>
          <cell r="J6">
            <v>80</v>
          </cell>
          <cell r="K6">
            <v>80</v>
          </cell>
        </row>
        <row r="7">
          <cell r="C7">
            <v>1520</v>
          </cell>
          <cell r="D7">
            <v>350</v>
          </cell>
          <cell r="E7">
            <v>350</v>
          </cell>
          <cell r="F7">
            <v>420</v>
          </cell>
          <cell r="G7">
            <v>350</v>
          </cell>
          <cell r="H7">
            <v>350</v>
          </cell>
          <cell r="I7">
            <v>350</v>
          </cell>
          <cell r="J7">
            <v>650</v>
          </cell>
          <cell r="K7">
            <v>350</v>
          </cell>
        </row>
        <row r="8">
          <cell r="C8">
            <v>946</v>
          </cell>
          <cell r="D8">
            <v>230</v>
          </cell>
          <cell r="E8">
            <v>230</v>
          </cell>
          <cell r="F8">
            <v>230</v>
          </cell>
          <cell r="G8">
            <v>270</v>
          </cell>
          <cell r="H8">
            <v>230</v>
          </cell>
          <cell r="I8">
            <v>230</v>
          </cell>
          <cell r="J8">
            <v>230</v>
          </cell>
          <cell r="K8">
            <v>475</v>
          </cell>
        </row>
        <row r="9">
          <cell r="C9">
            <v>475</v>
          </cell>
          <cell r="D9">
            <v>70</v>
          </cell>
          <cell r="E9">
            <v>70</v>
          </cell>
          <cell r="F9">
            <v>221</v>
          </cell>
          <cell r="G9">
            <v>70</v>
          </cell>
          <cell r="H9">
            <v>70</v>
          </cell>
          <cell r="I9">
            <v>221</v>
          </cell>
          <cell r="J9">
            <v>70</v>
          </cell>
          <cell r="K9">
            <v>120</v>
          </cell>
        </row>
        <row r="10">
          <cell r="C10">
            <v>205</v>
          </cell>
          <cell r="D10">
            <v>50</v>
          </cell>
          <cell r="E10">
            <v>50</v>
          </cell>
          <cell r="F10">
            <v>50</v>
          </cell>
          <cell r="G10">
            <v>50</v>
          </cell>
          <cell r="H10">
            <v>50</v>
          </cell>
          <cell r="I10">
            <v>50</v>
          </cell>
          <cell r="J10">
            <v>50</v>
          </cell>
          <cell r="K10">
            <v>105</v>
          </cell>
        </row>
        <row r="11">
          <cell r="C11">
            <v>189</v>
          </cell>
          <cell r="D11">
            <v>20</v>
          </cell>
          <cell r="E11">
            <v>20</v>
          </cell>
          <cell r="F11">
            <v>20</v>
          </cell>
          <cell r="G11">
            <v>20</v>
          </cell>
          <cell r="H11">
            <v>20</v>
          </cell>
          <cell r="I11">
            <v>240</v>
          </cell>
          <cell r="J11">
            <v>20</v>
          </cell>
          <cell r="K11">
            <v>20</v>
          </cell>
        </row>
        <row r="12">
          <cell r="C12">
            <v>149</v>
          </cell>
          <cell r="D12">
            <v>70</v>
          </cell>
          <cell r="E12">
            <v>27</v>
          </cell>
          <cell r="F12">
            <v>27</v>
          </cell>
          <cell r="G12">
            <v>70</v>
          </cell>
          <cell r="H12">
            <v>27</v>
          </cell>
          <cell r="I12">
            <v>27</v>
          </cell>
          <cell r="J12">
            <v>70</v>
          </cell>
          <cell r="K12">
            <v>27</v>
          </cell>
        </row>
        <row r="13">
          <cell r="C13">
            <v>147</v>
          </cell>
          <cell r="D13">
            <v>28</v>
          </cell>
          <cell r="E13">
            <v>328</v>
          </cell>
          <cell r="F13">
            <v>28</v>
          </cell>
          <cell r="G13">
            <v>28</v>
          </cell>
          <cell r="H13">
            <v>688</v>
          </cell>
          <cell r="I13">
            <v>28</v>
          </cell>
          <cell r="J13">
            <v>28</v>
          </cell>
          <cell r="K13">
            <v>28</v>
          </cell>
        </row>
        <row r="14">
          <cell r="C14">
            <v>255</v>
          </cell>
          <cell r="F14">
            <v>120</v>
          </cell>
          <cell r="G14">
            <v>30</v>
          </cell>
          <cell r="I14">
            <v>15</v>
          </cell>
          <cell r="K14">
            <v>15</v>
          </cell>
        </row>
        <row r="15">
          <cell r="D15">
            <v>20</v>
          </cell>
          <cell r="E15">
            <v>20</v>
          </cell>
          <cell r="F15">
            <v>20</v>
          </cell>
          <cell r="H15">
            <v>20</v>
          </cell>
          <cell r="I15">
            <v>20</v>
          </cell>
          <cell r="J15">
            <v>20</v>
          </cell>
          <cell r="K15">
            <v>20</v>
          </cell>
        </row>
        <row r="16">
          <cell r="D16">
            <v>1618</v>
          </cell>
          <cell r="E16">
            <v>1875</v>
          </cell>
          <cell r="F16">
            <v>1816</v>
          </cell>
          <cell r="G16">
            <v>1388</v>
          </cell>
          <cell r="H16">
            <v>2335</v>
          </cell>
          <cell r="I16">
            <v>1861</v>
          </cell>
          <cell r="J16">
            <v>2018</v>
          </cell>
          <cell r="K16">
            <v>2040</v>
          </cell>
        </row>
        <row r="17">
          <cell r="C17">
            <v>663</v>
          </cell>
          <cell r="D17">
            <v>179</v>
          </cell>
          <cell r="E17">
            <v>231</v>
          </cell>
          <cell r="F17">
            <v>201</v>
          </cell>
          <cell r="G17">
            <v>135</v>
          </cell>
          <cell r="H17">
            <v>251</v>
          </cell>
          <cell r="I17">
            <v>340</v>
          </cell>
          <cell r="J17">
            <v>340</v>
          </cell>
          <cell r="K17">
            <v>340</v>
          </cell>
        </row>
        <row r="18">
          <cell r="C18">
            <v>0</v>
          </cell>
        </row>
        <row r="19">
          <cell r="C19">
            <v>148</v>
          </cell>
          <cell r="D19">
            <v>75</v>
          </cell>
          <cell r="E19">
            <v>75</v>
          </cell>
          <cell r="F19">
            <v>75</v>
          </cell>
          <cell r="G19">
            <v>135</v>
          </cell>
          <cell r="H19">
            <v>75</v>
          </cell>
          <cell r="I19">
            <v>75</v>
          </cell>
          <cell r="J19">
            <v>90</v>
          </cell>
          <cell r="K19">
            <v>182</v>
          </cell>
        </row>
        <row r="20">
          <cell r="C20">
            <v>409</v>
          </cell>
          <cell r="D20">
            <v>80</v>
          </cell>
          <cell r="E20">
            <v>80</v>
          </cell>
          <cell r="F20">
            <v>70</v>
          </cell>
          <cell r="G20">
            <v>70</v>
          </cell>
          <cell r="H20">
            <v>70</v>
          </cell>
          <cell r="I20">
            <v>70</v>
          </cell>
          <cell r="J20">
            <v>70</v>
          </cell>
          <cell r="K20">
            <v>70</v>
          </cell>
        </row>
        <row r="21">
          <cell r="C21">
            <v>977</v>
          </cell>
          <cell r="D21">
            <v>170</v>
          </cell>
          <cell r="E21">
            <v>200</v>
          </cell>
          <cell r="F21">
            <v>150</v>
          </cell>
          <cell r="G21">
            <v>130</v>
          </cell>
          <cell r="H21">
            <v>200</v>
          </cell>
          <cell r="I21">
            <v>350</v>
          </cell>
          <cell r="J21">
            <v>400</v>
          </cell>
          <cell r="K21">
            <v>500</v>
          </cell>
        </row>
        <row r="22">
          <cell r="C22">
            <v>1047</v>
          </cell>
          <cell r="D22">
            <v>257</v>
          </cell>
          <cell r="E22">
            <v>250</v>
          </cell>
          <cell r="F22">
            <v>1800</v>
          </cell>
          <cell r="G22">
            <v>250</v>
          </cell>
          <cell r="H22">
            <v>250</v>
          </cell>
          <cell r="I22">
            <v>250</v>
          </cell>
          <cell r="J22">
            <v>250</v>
          </cell>
          <cell r="K22">
            <v>1390</v>
          </cell>
        </row>
        <row r="23">
          <cell r="C23">
            <v>588</v>
          </cell>
          <cell r="D23">
            <v>20</v>
          </cell>
          <cell r="E23">
            <v>180</v>
          </cell>
          <cell r="F23">
            <v>20</v>
          </cell>
          <cell r="G23">
            <v>20</v>
          </cell>
          <cell r="H23">
            <v>330</v>
          </cell>
          <cell r="I23">
            <v>20</v>
          </cell>
          <cell r="J23">
            <v>20</v>
          </cell>
          <cell r="K23">
            <v>200</v>
          </cell>
        </row>
        <row r="24">
          <cell r="C24">
            <v>1753</v>
          </cell>
          <cell r="D24">
            <v>92</v>
          </cell>
          <cell r="E24">
            <v>0</v>
          </cell>
          <cell r="F24">
            <v>850</v>
          </cell>
          <cell r="G24">
            <v>40</v>
          </cell>
          <cell r="I24">
            <v>800</v>
          </cell>
          <cell r="J24">
            <v>40</v>
          </cell>
          <cell r="K24">
            <v>13</v>
          </cell>
        </row>
        <row r="25">
          <cell r="C25">
            <v>236</v>
          </cell>
          <cell r="D25">
            <v>20</v>
          </cell>
          <cell r="E25">
            <v>10</v>
          </cell>
          <cell r="F25">
            <v>65</v>
          </cell>
          <cell r="G25">
            <v>20</v>
          </cell>
          <cell r="H25">
            <v>10</v>
          </cell>
          <cell r="I25">
            <v>65</v>
          </cell>
          <cell r="J25">
            <v>20</v>
          </cell>
          <cell r="K25">
            <v>20</v>
          </cell>
        </row>
        <row r="26">
          <cell r="C26">
            <v>66</v>
          </cell>
          <cell r="D26">
            <v>26</v>
          </cell>
          <cell r="E26">
            <v>26</v>
          </cell>
          <cell r="F26">
            <v>26</v>
          </cell>
          <cell r="G26">
            <v>26</v>
          </cell>
          <cell r="H26">
            <v>26</v>
          </cell>
          <cell r="I26">
            <v>26</v>
          </cell>
          <cell r="J26">
            <v>26</v>
          </cell>
          <cell r="K26">
            <v>26</v>
          </cell>
        </row>
        <row r="27">
          <cell r="C27">
            <v>270</v>
          </cell>
          <cell r="E27">
            <v>150</v>
          </cell>
          <cell r="I27">
            <v>100</v>
          </cell>
        </row>
        <row r="29">
          <cell r="C29">
            <v>0</v>
          </cell>
        </row>
        <row r="30">
          <cell r="C30">
            <v>1000</v>
          </cell>
        </row>
        <row r="31">
          <cell r="C31">
            <v>0</v>
          </cell>
          <cell r="E31">
            <v>300</v>
          </cell>
          <cell r="H31">
            <v>300</v>
          </cell>
          <cell r="J31">
            <v>500</v>
          </cell>
        </row>
        <row r="32">
          <cell r="D32">
            <v>919</v>
          </cell>
          <cell r="E32">
            <v>1502</v>
          </cell>
          <cell r="F32">
            <v>3257</v>
          </cell>
          <cell r="G32">
            <v>826</v>
          </cell>
          <cell r="H32">
            <v>1512</v>
          </cell>
          <cell r="I32">
            <v>2096</v>
          </cell>
          <cell r="J32">
            <v>1756</v>
          </cell>
          <cell r="K32">
            <v>2741</v>
          </cell>
          <cell r="L32">
            <v>21766</v>
          </cell>
        </row>
        <row r="33">
          <cell r="D33">
            <v>-699</v>
          </cell>
          <cell r="E33">
            <v>-373</v>
          </cell>
          <cell r="F33">
            <v>1441</v>
          </cell>
          <cell r="G33">
            <v>-562</v>
          </cell>
          <cell r="H33">
            <v>-823</v>
          </cell>
          <cell r="I33">
            <v>235</v>
          </cell>
          <cell r="J33">
            <v>-262</v>
          </cell>
          <cell r="K33">
            <v>701</v>
          </cell>
        </row>
        <row r="42">
          <cell r="C42">
            <v>1360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r_EXPLICATION CER PAR RUBRIQUE"/>
      <sheetName val="explications globales"/>
      <sheetName val="frais etablissements"/>
      <sheetName val="frais comites"/>
      <sheetName val="CRODconso"/>
      <sheetName val="CER Siège"/>
      <sheetName val="CER-emplois affectes"/>
      <sheetName val="CROD Siège"/>
      <sheetName val="CROD-produits"/>
      <sheetName val="CROD-charges"/>
      <sheetName val="FONDATION"/>
      <sheetName val="SERVICE MECENAT"/>
      <sheetName val="Frais généraux"/>
      <sheetName val="AJUSTEMENTS MANUELS"/>
      <sheetName val="CROD etablissements"/>
      <sheetName val="CROD élimination"/>
      <sheetName val="CROD IMPRO"/>
      <sheetName val="CROD OW SOCIAL"/>
      <sheetName val="CROD ESCOLORE SOCIAL"/>
      <sheetName val="CROD SAVS DV"/>
      <sheetName val="CROD CFRP"/>
      <sheetName val="CROD CDTD"/>
      <sheetName val="CROD AT VILLETTE"/>
      <sheetName val="CROD OW PROD"/>
      <sheetName val="CROD ESCOLORE PROD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2025</v>
          </cell>
        </row>
      </sheetData>
      <sheetData sheetId="6"/>
      <sheetData sheetId="7"/>
      <sheetData sheetId="8"/>
      <sheetData sheetId="9"/>
      <sheetData sheetId="10"/>
      <sheetData sheetId="11">
        <row r="55">
          <cell r="A55">
            <v>0.13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ramètres"/>
      <sheetName val="Actif"/>
      <sheetName val="mr_Actif"/>
      <sheetName val="Passif"/>
      <sheetName val="mr_Passif"/>
      <sheetName val="CR"/>
      <sheetName val="mr_CR"/>
      <sheetName val="Actif-DETAIL"/>
      <sheetName val="mr_Actif-DETAIL"/>
      <sheetName val="Passif-DETAIL"/>
      <sheetName val="mr_Passif-DETAIL"/>
      <sheetName val="CR-DETAIL"/>
      <sheetName val="mr_CR-DETAIL"/>
      <sheetName val="Verif Bilan Affectation"/>
      <sheetName val="mr_Verif Bilan Affectation"/>
      <sheetName val="Verif CDR Affectation"/>
      <sheetName val="mr_Verif CDR Affec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267C-22B6-4394-979B-BC21FCC8D2AC}">
  <sheetPr>
    <pageSetUpPr fitToPage="1"/>
  </sheetPr>
  <dimension ref="A1:TXH41"/>
  <sheetViews>
    <sheetView showGridLines="0" tabSelected="1" zoomScale="98" zoomScaleNormal="98" zoomScalePageLayoutView="85" workbookViewId="0">
      <pane xSplit="1" ySplit="2" topLeftCell="B18" activePane="bottomRight" state="frozenSplit"/>
      <selection activeCell="I35" sqref="I35"/>
      <selection pane="topRight" activeCell="I35" sqref="I35"/>
      <selection pane="bottomLeft" activeCell="I35" sqref="I35"/>
      <selection pane="bottomRight" activeCell="C37" sqref="C37"/>
    </sheetView>
  </sheetViews>
  <sheetFormatPr baseColWidth="10" defaultColWidth="11.42578125" defaultRowHeight="15.75" x14ac:dyDescent="0.25"/>
  <cols>
    <col min="1" max="1" width="62.7109375" style="3" customWidth="1"/>
    <col min="2" max="2" width="10.42578125" style="1" customWidth="1"/>
    <col min="3" max="5" width="8.85546875" style="1" customWidth="1"/>
    <col min="6" max="6" width="9.42578125" style="1" customWidth="1"/>
    <col min="7" max="7" width="9.42578125" style="1" bestFit="1" customWidth="1"/>
    <col min="8" max="9" width="8.85546875" style="1" customWidth="1"/>
    <col min="10" max="10" width="10.42578125" style="1" hidden="1" customWidth="1"/>
    <col min="11" max="11" width="12.85546875" style="1" hidden="1" customWidth="1"/>
    <col min="12" max="13" width="8.85546875" style="1" hidden="1" customWidth="1"/>
    <col min="14" max="14" width="10.140625" style="1" customWidth="1"/>
    <col min="15" max="17" width="8.85546875" style="1" customWidth="1"/>
    <col min="18" max="18" width="10.42578125" style="1" customWidth="1"/>
    <col min="19" max="19" width="12.85546875" style="1" customWidth="1"/>
    <col min="20" max="21" width="8.85546875" style="1" customWidth="1"/>
    <col min="22" max="14152" width="11.42578125" style="2"/>
    <col min="14153" max="16351" width="11.42578125" style="1"/>
    <col min="16352" max="16384" width="10.85546875" style="1" customWidth="1"/>
  </cols>
  <sheetData>
    <row r="1" spans="1:14152" ht="24.75" customHeight="1" x14ac:dyDescent="0.25">
      <c r="A1" s="20" t="s">
        <v>46</v>
      </c>
      <c r="B1" s="69" t="s">
        <v>13</v>
      </c>
      <c r="C1" s="70"/>
      <c r="D1" s="70"/>
      <c r="E1" s="71"/>
      <c r="F1" s="72" t="s">
        <v>10</v>
      </c>
      <c r="G1" s="72"/>
      <c r="H1" s="72"/>
      <c r="I1" s="73"/>
      <c r="J1" s="74" t="s">
        <v>9</v>
      </c>
      <c r="K1" s="74"/>
      <c r="L1" s="74"/>
      <c r="M1" s="75"/>
      <c r="N1" s="69" t="s">
        <v>12</v>
      </c>
      <c r="O1" s="70"/>
      <c r="P1" s="70"/>
      <c r="Q1" s="71"/>
      <c r="R1" s="74" t="s">
        <v>8</v>
      </c>
      <c r="S1" s="74"/>
      <c r="T1" s="74"/>
      <c r="U1" s="75"/>
    </row>
    <row r="2" spans="1:14152" ht="62.1" customHeight="1" x14ac:dyDescent="0.25">
      <c r="A2" s="20" t="s">
        <v>45</v>
      </c>
      <c r="B2" s="66" t="s">
        <v>44</v>
      </c>
      <c r="C2" s="66" t="s">
        <v>43</v>
      </c>
      <c r="D2" s="15" t="s">
        <v>42</v>
      </c>
      <c r="E2" s="66" t="s">
        <v>41</v>
      </c>
      <c r="F2" s="68" t="s">
        <v>44</v>
      </c>
      <c r="G2" s="67" t="s">
        <v>43</v>
      </c>
      <c r="H2" s="16" t="s">
        <v>42</v>
      </c>
      <c r="I2" s="67" t="s">
        <v>41</v>
      </c>
      <c r="J2" s="19" t="s">
        <v>44</v>
      </c>
      <c r="K2" s="64" t="s">
        <v>43</v>
      </c>
      <c r="L2" s="65" t="s">
        <v>42</v>
      </c>
      <c r="M2" s="64" t="s">
        <v>41</v>
      </c>
      <c r="N2" s="66" t="s">
        <v>44</v>
      </c>
      <c r="O2" s="66" t="s">
        <v>43</v>
      </c>
      <c r="P2" s="15" t="s">
        <v>42</v>
      </c>
      <c r="Q2" s="66" t="s">
        <v>41</v>
      </c>
      <c r="R2" s="19" t="s">
        <v>44</v>
      </c>
      <c r="S2" s="64" t="s">
        <v>43</v>
      </c>
      <c r="T2" s="65" t="s">
        <v>42</v>
      </c>
      <c r="U2" s="64" t="s">
        <v>41</v>
      </c>
    </row>
    <row r="3" spans="1:14152" ht="15" customHeight="1" x14ac:dyDescent="0.25">
      <c r="A3" s="63" t="s">
        <v>40</v>
      </c>
      <c r="B3" s="61">
        <v>15974.77268</v>
      </c>
      <c r="C3" s="61">
        <v>7373.3309600001503</v>
      </c>
      <c r="D3" s="62"/>
      <c r="E3" s="61">
        <f>+C3-B3+1</f>
        <v>-8600.4417199998497</v>
      </c>
      <c r="F3" s="62">
        <v>16304.711735905799</v>
      </c>
      <c r="G3" s="62">
        <v>7742.49</v>
      </c>
      <c r="H3" s="62"/>
      <c r="I3" s="61">
        <f>+G3-F3+1</f>
        <v>-8561.2217359057995</v>
      </c>
      <c r="J3" s="62">
        <v>16037.81702</v>
      </c>
      <c r="K3" s="62">
        <v>7545.1565000000001</v>
      </c>
      <c r="L3" s="62"/>
      <c r="M3" s="61">
        <f>+K3-J3</f>
        <v>-8492.6605200000013</v>
      </c>
      <c r="N3" s="61">
        <v>16425.3001</v>
      </c>
      <c r="O3" s="61">
        <v>7736.93117000046</v>
      </c>
      <c r="P3" s="62"/>
      <c r="Q3" s="61">
        <f>+O3-N3+1</f>
        <v>-8687.3689299995403</v>
      </c>
      <c r="R3" s="62">
        <v>16235.03479</v>
      </c>
      <c r="S3" s="62">
        <v>8399.92</v>
      </c>
      <c r="T3" s="62"/>
      <c r="U3" s="61">
        <f>+S3-R3+1</f>
        <v>-7834.1147899999996</v>
      </c>
    </row>
    <row r="4" spans="1:14152" ht="15" customHeight="1" x14ac:dyDescent="0.25">
      <c r="A4" s="39" t="s">
        <v>39</v>
      </c>
      <c r="B4" s="44">
        <v>3577.3205400000002</v>
      </c>
      <c r="C4" s="44">
        <f>1684.8958-C10</f>
        <v>1511.8958</v>
      </c>
      <c r="D4" s="51"/>
      <c r="E4" s="37">
        <f>+C4-B4</f>
        <v>-2065.4247400000004</v>
      </c>
      <c r="F4" s="52">
        <v>3873.33934</v>
      </c>
      <c r="G4" s="52">
        <v>1557.16</v>
      </c>
      <c r="H4" s="51"/>
      <c r="I4" s="37">
        <f>+G4-F4</f>
        <v>-2316.1793399999997</v>
      </c>
      <c r="J4" s="52">
        <v>3817.4119999999998</v>
      </c>
      <c r="K4" s="52">
        <v>1557.16</v>
      </c>
      <c r="L4" s="51"/>
      <c r="M4" s="37">
        <f>+K4-J4</f>
        <v>-2260.2519999999995</v>
      </c>
      <c r="N4" s="44">
        <f>3796.88037-N10</f>
        <v>3756.8803699999999</v>
      </c>
      <c r="O4" s="44">
        <f>1818.39545-O10</f>
        <v>1533.39545</v>
      </c>
      <c r="P4" s="51"/>
      <c r="Q4" s="37">
        <f>+O4-N4</f>
        <v>-2223.4849199999999</v>
      </c>
      <c r="R4" s="52">
        <v>3932.3620000000001</v>
      </c>
      <c r="S4" s="52">
        <v>1616.347</v>
      </c>
      <c r="T4" s="51"/>
      <c r="U4" s="37">
        <f>+S4-R4</f>
        <v>-2316.0150000000003</v>
      </c>
    </row>
    <row r="5" spans="1:14152" ht="15" customHeight="1" x14ac:dyDescent="0.25">
      <c r="A5" s="60" t="s">
        <v>38</v>
      </c>
      <c r="B5" s="59">
        <f>SUM(B3:B4)</f>
        <v>19552.093219999999</v>
      </c>
      <c r="C5" s="59">
        <f>SUM(C3:C4)</f>
        <v>8885.2267600001505</v>
      </c>
      <c r="D5" s="59"/>
      <c r="E5" s="59">
        <f>SUM(E3:E4)</f>
        <v>-10665.86645999985</v>
      </c>
      <c r="F5" s="59">
        <f>SUM(F3:F4)</f>
        <v>20178.051075905798</v>
      </c>
      <c r="G5" s="59">
        <f>SUM(G3:G4)</f>
        <v>9299.65</v>
      </c>
      <c r="H5" s="59"/>
      <c r="I5" s="59">
        <f>SUM(I3:I4)</f>
        <v>-10877.4010759058</v>
      </c>
      <c r="J5" s="59">
        <f>SUM(J3:J4)</f>
        <v>19855.229019999999</v>
      </c>
      <c r="K5" s="59">
        <f>SUM(K3:K4)</f>
        <v>9102.3165000000008</v>
      </c>
      <c r="L5" s="59"/>
      <c r="M5" s="59">
        <f>SUM(M3:M4)</f>
        <v>-10752.912520000002</v>
      </c>
      <c r="N5" s="59">
        <f>SUM(N3:N4)</f>
        <v>20182.180469999999</v>
      </c>
      <c r="O5" s="59">
        <f>SUM(O3:O4)</f>
        <v>9270.32662000046</v>
      </c>
      <c r="P5" s="59"/>
      <c r="Q5" s="59">
        <f>SUM(Q3:Q4)</f>
        <v>-10910.853849999541</v>
      </c>
      <c r="R5" s="59">
        <f>SUM(R3:R4)</f>
        <v>20167.396789999999</v>
      </c>
      <c r="S5" s="59">
        <f>SUM(S3:S4)</f>
        <v>10016.267</v>
      </c>
      <c r="T5" s="59"/>
      <c r="U5" s="59">
        <f>SUM(U3:U4)</f>
        <v>-10150.129789999999</v>
      </c>
    </row>
    <row r="6" spans="1:14152" ht="15" customHeight="1" x14ac:dyDescent="0.25">
      <c r="A6" s="39" t="s">
        <v>37</v>
      </c>
      <c r="B6" s="44">
        <v>162.05109999999999</v>
      </c>
      <c r="C6" s="44">
        <v>5566.82521</v>
      </c>
      <c r="D6" s="37"/>
      <c r="E6" s="37">
        <f>+C6-B6</f>
        <v>5404.7741100000003</v>
      </c>
      <c r="F6" s="51">
        <v>142.77981286200799</v>
      </c>
      <c r="G6" s="52">
        <v>5841</v>
      </c>
      <c r="H6" s="37"/>
      <c r="I6" s="37">
        <f>+G6-F6</f>
        <v>5698.2201871379921</v>
      </c>
      <c r="J6" s="51">
        <v>142.72</v>
      </c>
      <c r="K6" s="52">
        <v>5620</v>
      </c>
      <c r="L6" s="37"/>
      <c r="M6" s="37">
        <f>+K6-J6</f>
        <v>5477.28</v>
      </c>
      <c r="N6" s="44">
        <v>141.63559000000001</v>
      </c>
      <c r="O6" s="44">
        <v>4438.3139600000004</v>
      </c>
      <c r="P6" s="37"/>
      <c r="Q6" s="37">
        <f>+O6-N6</f>
        <v>4296.6783700000005</v>
      </c>
      <c r="R6" s="51">
        <v>131.13</v>
      </c>
      <c r="S6" s="52">
        <v>5700</v>
      </c>
      <c r="T6" s="37"/>
      <c r="U6" s="37">
        <f>+S6-R6</f>
        <v>5568.87</v>
      </c>
    </row>
    <row r="7" spans="1:14152" ht="15" customHeight="1" x14ac:dyDescent="0.25">
      <c r="A7" s="39" t="s">
        <v>36</v>
      </c>
      <c r="B7" s="44">
        <v>252.54940999999999</v>
      </c>
      <c r="C7" s="44">
        <v>638.65863000000002</v>
      </c>
      <c r="D7" s="51"/>
      <c r="E7" s="37">
        <f>+C7-B7</f>
        <v>386.10922000000005</v>
      </c>
      <c r="F7" s="52">
        <v>105.09514</v>
      </c>
      <c r="G7" s="52">
        <f>1314-901</f>
        <v>413</v>
      </c>
      <c r="H7" s="51"/>
      <c r="I7" s="37">
        <f>+G7-F7</f>
        <v>307.90485999999999</v>
      </c>
      <c r="J7" s="52">
        <v>105.1</v>
      </c>
      <c r="K7" s="52">
        <f>783-K10</f>
        <v>552</v>
      </c>
      <c r="L7" s="51"/>
      <c r="M7" s="37">
        <f>+K7-J7</f>
        <v>446.9</v>
      </c>
      <c r="N7" s="44">
        <v>320.14578999999998</v>
      </c>
      <c r="O7" s="44">
        <v>592.11112000000003</v>
      </c>
      <c r="P7" s="51"/>
      <c r="Q7" s="37">
        <f>+O7-N7</f>
        <v>271.96533000000005</v>
      </c>
      <c r="R7" s="52">
        <f>255.88-R10</f>
        <v>103.88</v>
      </c>
      <c r="S7" s="52">
        <f>1300-S10</f>
        <v>300</v>
      </c>
      <c r="T7" s="51"/>
      <c r="U7" s="37">
        <f>+S7-R7</f>
        <v>196.12</v>
      </c>
    </row>
    <row r="8" spans="1:14152" ht="15" customHeight="1" x14ac:dyDescent="0.25">
      <c r="A8" s="39" t="s">
        <v>35</v>
      </c>
      <c r="B8" s="44"/>
      <c r="C8" s="44">
        <v>2000</v>
      </c>
      <c r="D8" s="51"/>
      <c r="E8" s="37">
        <f>+C8-B8</f>
        <v>2000</v>
      </c>
      <c r="F8" s="52"/>
      <c r="G8" s="52">
        <v>2800</v>
      </c>
      <c r="H8" s="51"/>
      <c r="I8" s="37">
        <f>+G8-F8</f>
        <v>2800</v>
      </c>
      <c r="J8" s="52"/>
      <c r="K8" s="52">
        <v>2800</v>
      </c>
      <c r="L8" s="51"/>
      <c r="M8" s="37">
        <f>+K8-J8</f>
        <v>2800</v>
      </c>
      <c r="N8" s="44"/>
      <c r="O8" s="44">
        <v>2800</v>
      </c>
      <c r="P8" s="51"/>
      <c r="Q8" s="37">
        <f>+O8-N8</f>
        <v>2800</v>
      </c>
      <c r="R8" s="52"/>
      <c r="S8" s="52">
        <v>3200</v>
      </c>
      <c r="T8" s="51"/>
      <c r="U8" s="37">
        <f>+S8-R8</f>
        <v>3200</v>
      </c>
    </row>
    <row r="9" spans="1:14152" ht="15" customHeight="1" x14ac:dyDescent="0.25">
      <c r="A9" s="39" t="s">
        <v>34</v>
      </c>
      <c r="B9" s="44">
        <v>313.21132</v>
      </c>
      <c r="C9" s="44">
        <v>236.76911999999999</v>
      </c>
      <c r="D9" s="51"/>
      <c r="E9" s="37">
        <f>+C9-B9</f>
        <v>-76.442200000000014</v>
      </c>
      <c r="F9" s="52">
        <v>367.49799999999999</v>
      </c>
      <c r="G9" s="52">
        <v>294</v>
      </c>
      <c r="H9" s="51"/>
      <c r="I9" s="37">
        <f>+G9-F9</f>
        <v>-73.49799999999999</v>
      </c>
      <c r="J9" s="52">
        <v>291.14999999999998</v>
      </c>
      <c r="K9" s="52">
        <v>207</v>
      </c>
      <c r="L9" s="51"/>
      <c r="M9" s="37">
        <f>+K9-J9</f>
        <v>-84.149999999999977</v>
      </c>
      <c r="N9" s="44">
        <v>217.0112</v>
      </c>
      <c r="O9" s="44">
        <v>235.09479999999999</v>
      </c>
      <c r="P9" s="51"/>
      <c r="Q9" s="37">
        <f>+O9-N9</f>
        <v>18.08359999999999</v>
      </c>
      <c r="R9" s="52">
        <v>183</v>
      </c>
      <c r="S9" s="52">
        <v>183</v>
      </c>
      <c r="T9" s="51"/>
      <c r="U9" s="37">
        <f>+S9-R9</f>
        <v>0</v>
      </c>
    </row>
    <row r="10" spans="1:14152" ht="15" customHeight="1" x14ac:dyDescent="0.25">
      <c r="A10" s="58" t="s">
        <v>33</v>
      </c>
      <c r="B10" s="57"/>
      <c r="C10" s="57">
        <v>173</v>
      </c>
      <c r="D10" s="57"/>
      <c r="E10" s="56">
        <f>+C10-B10</f>
        <v>173</v>
      </c>
      <c r="F10" s="57"/>
      <c r="G10" s="57">
        <v>901</v>
      </c>
      <c r="H10" s="56"/>
      <c r="I10" s="56">
        <f>+G10-F10</f>
        <v>901</v>
      </c>
      <c r="J10" s="57"/>
      <c r="K10" s="57">
        <v>231</v>
      </c>
      <c r="L10" s="56"/>
      <c r="M10" s="56">
        <f>+K10-J10</f>
        <v>231</v>
      </c>
      <c r="N10" s="57">
        <v>40</v>
      </c>
      <c r="O10" s="57">
        <v>285</v>
      </c>
      <c r="P10" s="57"/>
      <c r="Q10" s="56">
        <f>+O10-N10</f>
        <v>245</v>
      </c>
      <c r="R10" s="57">
        <v>152</v>
      </c>
      <c r="S10" s="57">
        <v>1000</v>
      </c>
      <c r="T10" s="56"/>
      <c r="U10" s="56">
        <f>+S10-R10</f>
        <v>848</v>
      </c>
    </row>
    <row r="11" spans="1:14152" s="32" customFormat="1" ht="15" customHeight="1" x14ac:dyDescent="0.2">
      <c r="A11" s="41" t="s">
        <v>32</v>
      </c>
      <c r="B11" s="55">
        <f>+B5+B6+B7+B8+B10+B9</f>
        <v>20279.905049999998</v>
      </c>
      <c r="C11" s="34">
        <f>+C5+C6+C7+C8+C10+C9</f>
        <v>17500.479720000152</v>
      </c>
      <c r="D11" s="34">
        <f>+D5+D6+D7+D8+D10</f>
        <v>0</v>
      </c>
      <c r="E11" s="54">
        <f>E5+E6+E7+E8+E10+E9</f>
        <v>-2778.4253299998495</v>
      </c>
      <c r="F11" s="55">
        <f>+F5+F6+F7+F8+F10+F9</f>
        <v>20793.424028767808</v>
      </c>
      <c r="G11" s="34">
        <f>+G5+G6+G7+G8+G10+G9</f>
        <v>19548.650000000001</v>
      </c>
      <c r="H11" s="34">
        <f>+H5+H6+H7+H8+H10</f>
        <v>0</v>
      </c>
      <c r="I11" s="54">
        <f>I5+I6+I7+I8+I10+I9</f>
        <v>-1243.7740287678084</v>
      </c>
      <c r="J11" s="55">
        <f>+J5+J6+J7+J8+J10+J9</f>
        <v>20394.19902</v>
      </c>
      <c r="K11" s="34">
        <f>+K5+K6+K7+K8+K10+K9</f>
        <v>18512.316500000001</v>
      </c>
      <c r="L11" s="34">
        <v>0</v>
      </c>
      <c r="M11" s="54">
        <f>M5+M6+M7+M8+M10+M9</f>
        <v>-1881.8825200000024</v>
      </c>
      <c r="N11" s="55">
        <f>+N5+N6+N7+N8+N10+N9</f>
        <v>20900.973050000001</v>
      </c>
      <c r="O11" s="34">
        <f>+O5+O6+O7+O8+O10+O9</f>
        <v>17620.846500000458</v>
      </c>
      <c r="P11" s="34">
        <f>+P5+P6+P7+P8+P10</f>
        <v>0</v>
      </c>
      <c r="Q11" s="54">
        <f>Q5+Q6+Q7+Q8+Q10+Q9</f>
        <v>-3279.1265499995407</v>
      </c>
      <c r="R11" s="55">
        <f>+R5+R6+R7+R8+R10+R9</f>
        <v>20737.406790000001</v>
      </c>
      <c r="S11" s="34">
        <f>+S5+S6+S7+S8+S10+S9</f>
        <v>20399.267</v>
      </c>
      <c r="T11" s="34">
        <f>+T5+T6+T7+T8+T10</f>
        <v>0</v>
      </c>
      <c r="U11" s="54">
        <f>U5+U6+U7+U8+U10+U9</f>
        <v>-337.13978999999927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</row>
    <row r="12" spans="1:14152" ht="15" customHeight="1" x14ac:dyDescent="0.25">
      <c r="A12" s="39" t="s">
        <v>31</v>
      </c>
      <c r="B12" s="53">
        <v>1852.9585300000001</v>
      </c>
      <c r="C12" s="37">
        <v>1333.74747</v>
      </c>
      <c r="D12" s="51"/>
      <c r="E12" s="37">
        <f>+C12-B12</f>
        <v>-519.21106000000009</v>
      </c>
      <c r="F12" s="52">
        <v>1833.6435594534501</v>
      </c>
      <c r="G12" s="52">
        <v>1318.4493944640001</v>
      </c>
      <c r="H12" s="51"/>
      <c r="I12" s="37">
        <f>+G12-F12</f>
        <v>-515.19416498944997</v>
      </c>
      <c r="J12" s="52">
        <v>1905.6631494534499</v>
      </c>
      <c r="K12" s="52">
        <v>1376.300394464</v>
      </c>
      <c r="L12" s="51"/>
      <c r="M12" s="37">
        <f>+K12-J12</f>
        <v>-529.36275498944997</v>
      </c>
      <c r="N12" s="53">
        <v>1918.31104</v>
      </c>
      <c r="O12" s="37">
        <v>1390.69121</v>
      </c>
      <c r="P12" s="51"/>
      <c r="Q12" s="37">
        <f>+O12-N12</f>
        <v>-527.61983000000009</v>
      </c>
      <c r="R12" s="52">
        <v>1804.01</v>
      </c>
      <c r="S12" s="52">
        <v>980.09</v>
      </c>
      <c r="T12" s="51"/>
      <c r="U12" s="37">
        <f>+S12-R12</f>
        <v>-823.92</v>
      </c>
    </row>
    <row r="13" spans="1:14152" s="32" customFormat="1" ht="15" customHeight="1" x14ac:dyDescent="0.2">
      <c r="A13" s="50" t="s">
        <v>30</v>
      </c>
      <c r="B13" s="49">
        <f t="shared" ref="B13:I13" si="0">SUM(B12:B12)</f>
        <v>1852.9585300000001</v>
      </c>
      <c r="C13" s="49">
        <f t="shared" si="0"/>
        <v>1333.74747</v>
      </c>
      <c r="D13" s="49">
        <f t="shared" si="0"/>
        <v>0</v>
      </c>
      <c r="E13" s="49">
        <f t="shared" si="0"/>
        <v>-519.21106000000009</v>
      </c>
      <c r="F13" s="49">
        <f t="shared" si="0"/>
        <v>1833.6435594534501</v>
      </c>
      <c r="G13" s="49">
        <f t="shared" si="0"/>
        <v>1318.4493944640001</v>
      </c>
      <c r="H13" s="49">
        <f t="shared" si="0"/>
        <v>0</v>
      </c>
      <c r="I13" s="49">
        <f t="shared" si="0"/>
        <v>-515.19416498944997</v>
      </c>
      <c r="J13" s="49">
        <v>1905.6631494534499</v>
      </c>
      <c r="K13" s="49">
        <v>1376.300394464</v>
      </c>
      <c r="L13" s="49">
        <v>0</v>
      </c>
      <c r="M13" s="49">
        <f t="shared" ref="M13:U13" si="1">SUM(M12:M12)</f>
        <v>-529.36275498944997</v>
      </c>
      <c r="N13" s="49">
        <f t="shared" si="1"/>
        <v>1918.31104</v>
      </c>
      <c r="O13" s="49">
        <f t="shared" si="1"/>
        <v>1390.69121</v>
      </c>
      <c r="P13" s="49">
        <f t="shared" si="1"/>
        <v>0</v>
      </c>
      <c r="Q13" s="49">
        <f t="shared" si="1"/>
        <v>-527.61983000000009</v>
      </c>
      <c r="R13" s="49">
        <f t="shared" si="1"/>
        <v>1804.01</v>
      </c>
      <c r="S13" s="49">
        <f t="shared" si="1"/>
        <v>980.09</v>
      </c>
      <c r="T13" s="49">
        <f t="shared" si="1"/>
        <v>0</v>
      </c>
      <c r="U13" s="49">
        <f t="shared" si="1"/>
        <v>-823.92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</row>
    <row r="14" spans="1:14152" s="46" customFormat="1" ht="15" customHeight="1" x14ac:dyDescent="0.25">
      <c r="A14" s="48" t="s">
        <v>29</v>
      </c>
      <c r="B14" s="47">
        <f>+B11+B13</f>
        <v>22132.863579999997</v>
      </c>
      <c r="C14" s="47">
        <f>+C11+C13</f>
        <v>18834.227190000151</v>
      </c>
      <c r="D14" s="47">
        <f>+D11+D13</f>
        <v>0</v>
      </c>
      <c r="E14" s="47">
        <f>+E11+E13-1</f>
        <v>-3298.6363899998496</v>
      </c>
      <c r="F14" s="47">
        <f>+F11+F13</f>
        <v>22627.067588221256</v>
      </c>
      <c r="G14" s="47">
        <f>+G11+G13</f>
        <v>20867.099394464003</v>
      </c>
      <c r="H14" s="47">
        <f>+H11+H13</f>
        <v>0</v>
      </c>
      <c r="I14" s="47">
        <f>+I11+I13-1</f>
        <v>-1759.9681937572584</v>
      </c>
      <c r="J14" s="47">
        <v>22299.862169453449</v>
      </c>
      <c r="K14" s="47">
        <v>20119.616894464001</v>
      </c>
      <c r="L14" s="47">
        <v>0</v>
      </c>
      <c r="M14" s="47">
        <f>+M11+M13-1</f>
        <v>-2412.2452749894524</v>
      </c>
      <c r="N14" s="47">
        <f>+N11+N13</f>
        <v>22819.284090000001</v>
      </c>
      <c r="O14" s="47">
        <f>+O11+O13</f>
        <v>19011.537710000459</v>
      </c>
      <c r="P14" s="47">
        <f>+P11+P13</f>
        <v>0</v>
      </c>
      <c r="Q14" s="47">
        <f>+Q11+Q13-1</f>
        <v>-3807.7463799995407</v>
      </c>
      <c r="R14" s="47">
        <f>+R13+R11</f>
        <v>22541.416789999999</v>
      </c>
      <c r="S14" s="47">
        <f>+S13+S11</f>
        <v>21379.357</v>
      </c>
      <c r="T14" s="47">
        <f>+T13+T11</f>
        <v>0</v>
      </c>
      <c r="U14" s="47">
        <f>+U13+U11</f>
        <v>-1161.0597899999993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</row>
    <row r="15" spans="1:14152" s="36" customFormat="1" ht="15" customHeight="1" x14ac:dyDescent="0.2">
      <c r="A15" s="45" t="s">
        <v>28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</row>
    <row r="16" spans="1:14152" s="36" customFormat="1" ht="15" customHeight="1" x14ac:dyDescent="0.2">
      <c r="A16" s="39" t="s">
        <v>27</v>
      </c>
      <c r="B16" s="37">
        <v>5550</v>
      </c>
      <c r="C16" s="37">
        <v>5016</v>
      </c>
      <c r="D16" s="37">
        <v>29</v>
      </c>
      <c r="E16" s="37">
        <f>+C16-B16-D16</f>
        <v>-563</v>
      </c>
      <c r="F16" s="37">
        <f>5516938/1000</f>
        <v>5516.9380000000001</v>
      </c>
      <c r="G16" s="37">
        <f>5898844/1000</f>
        <v>5898.8440000000001</v>
      </c>
      <c r="H16" s="37">
        <v>382</v>
      </c>
      <c r="I16" s="37">
        <f>+G16-F16-H16</f>
        <v>-9.4000000000050932E-2</v>
      </c>
      <c r="J16" s="37">
        <v>5341</v>
      </c>
      <c r="K16" s="37">
        <v>4994</v>
      </c>
      <c r="L16" s="37">
        <v>322</v>
      </c>
      <c r="M16" s="37">
        <f>+K16-J16-L16</f>
        <v>-669</v>
      </c>
      <c r="N16" s="37">
        <v>5428</v>
      </c>
      <c r="O16" s="37">
        <v>5306</v>
      </c>
      <c r="P16" s="37">
        <v>291</v>
      </c>
      <c r="Q16" s="37">
        <f>+O16-N16-P16</f>
        <v>-413</v>
      </c>
      <c r="R16" s="37">
        <v>5836</v>
      </c>
      <c r="S16" s="37">
        <v>6394</v>
      </c>
      <c r="T16" s="37">
        <v>558</v>
      </c>
      <c r="U16" s="37">
        <f>+S16-R16-T16</f>
        <v>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</row>
    <row r="17" spans="1:14152" s="36" customFormat="1" ht="15" customHeight="1" x14ac:dyDescent="0.2">
      <c r="A17" s="39" t="s">
        <v>26</v>
      </c>
      <c r="B17" s="37">
        <v>3338</v>
      </c>
      <c r="C17" s="37">
        <v>3430</v>
      </c>
      <c r="D17" s="37">
        <v>117</v>
      </c>
      <c r="E17" s="37">
        <f>+C17-B17-D17</f>
        <v>-25</v>
      </c>
      <c r="F17" s="37">
        <f>(254090+3132971)/1000</f>
        <v>3387.0610000000001</v>
      </c>
      <c r="G17" s="37">
        <f>(3477229+254090)/1000</f>
        <v>3731.319</v>
      </c>
      <c r="H17" s="37">
        <v>344</v>
      </c>
      <c r="I17" s="37">
        <f>+G17-F17-H17</f>
        <v>0.25799999999981083</v>
      </c>
      <c r="J17" s="37">
        <v>3019</v>
      </c>
      <c r="K17" s="37">
        <v>3254</v>
      </c>
      <c r="L17" s="37">
        <v>344</v>
      </c>
      <c r="M17" s="37">
        <f>+K17-J17-L17</f>
        <v>-109</v>
      </c>
      <c r="N17" s="37">
        <v>3493</v>
      </c>
      <c r="O17" s="37">
        <v>3806</v>
      </c>
      <c r="P17" s="37">
        <v>349</v>
      </c>
      <c r="Q17" s="37">
        <f>+O17-N17-P17</f>
        <v>-36</v>
      </c>
      <c r="R17" s="37">
        <v>3325</v>
      </c>
      <c r="S17" s="37">
        <v>3354</v>
      </c>
      <c r="T17" s="37">
        <v>29</v>
      </c>
      <c r="U17" s="37">
        <f>+S17-R17-T17</f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</row>
    <row r="18" spans="1:14152" s="36" customFormat="1" ht="15" customHeight="1" x14ac:dyDescent="0.2">
      <c r="A18" s="39" t="s">
        <v>25</v>
      </c>
      <c r="B18" s="37">
        <v>4511</v>
      </c>
      <c r="C18" s="37">
        <v>4691</v>
      </c>
      <c r="D18" s="37">
        <v>-20</v>
      </c>
      <c r="E18" s="37">
        <f>+C18-B18-D18</f>
        <v>200</v>
      </c>
      <c r="F18" s="37">
        <f>(3317450+1456917)/1000</f>
        <v>4774.3670000000002</v>
      </c>
      <c r="G18" s="37">
        <f>(1428610+3317450)/1000</f>
        <v>4746.0600000000004</v>
      </c>
      <c r="H18" s="37"/>
      <c r="I18" s="37">
        <f>+G18-F18-H18</f>
        <v>-28.306999999999789</v>
      </c>
      <c r="J18" s="37">
        <v>4625</v>
      </c>
      <c r="K18" s="37">
        <v>4609</v>
      </c>
      <c r="L18" s="37">
        <v>-98</v>
      </c>
      <c r="M18" s="37">
        <f>+K18-J18-L18</f>
        <v>82</v>
      </c>
      <c r="N18" s="37">
        <f>4366+86+6</f>
        <v>4458</v>
      </c>
      <c r="O18" s="37">
        <v>4515</v>
      </c>
      <c r="P18" s="37">
        <v>-103</v>
      </c>
      <c r="Q18" s="37">
        <f>+O18-N18-P18</f>
        <v>160</v>
      </c>
      <c r="R18" s="37">
        <f>7268-R24</f>
        <v>4649</v>
      </c>
      <c r="S18" s="37">
        <f>7319-S24</f>
        <v>4680</v>
      </c>
      <c r="T18" s="37"/>
      <c r="U18" s="37">
        <f>+S18-R18-T18</f>
        <v>31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</row>
    <row r="19" spans="1:14152" s="36" customFormat="1" ht="15" customHeight="1" x14ac:dyDescent="0.2">
      <c r="A19" s="39" t="s">
        <v>24</v>
      </c>
      <c r="B19" s="37">
        <v>2443</v>
      </c>
      <c r="C19" s="37">
        <v>2502</v>
      </c>
      <c r="D19" s="37">
        <v>-51</v>
      </c>
      <c r="E19" s="37">
        <f>+C19-B19-D19</f>
        <v>110</v>
      </c>
      <c r="F19" s="37">
        <f>(830703+1671430)/1000</f>
        <v>2502.1329999999998</v>
      </c>
      <c r="G19" s="37">
        <f>(810336+1671430)/1000</f>
        <v>2481.7660000000001</v>
      </c>
      <c r="H19" s="37"/>
      <c r="I19" s="37">
        <f>+G19-F19-H19</f>
        <v>-20.366999999999734</v>
      </c>
      <c r="J19" s="37">
        <v>2507</v>
      </c>
      <c r="K19" s="37">
        <v>2578</v>
      </c>
      <c r="L19" s="37"/>
      <c r="M19" s="37">
        <f>+K19-J19-L19</f>
        <v>71</v>
      </c>
      <c r="N19" s="37">
        <f>2477+12</f>
        <v>2489</v>
      </c>
      <c r="O19" s="37">
        <f>2534+7</f>
        <v>2541</v>
      </c>
      <c r="P19" s="37">
        <v>-14</v>
      </c>
      <c r="Q19" s="37">
        <f>+O19-N19-P19</f>
        <v>66</v>
      </c>
      <c r="R19" s="37">
        <v>2576</v>
      </c>
      <c r="S19" s="37">
        <v>2568</v>
      </c>
      <c r="T19" s="37">
        <v>-8</v>
      </c>
      <c r="U19" s="37">
        <f>+S19-R19-T19</f>
        <v>0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</row>
    <row r="20" spans="1:14152" s="36" customFormat="1" ht="15" customHeight="1" x14ac:dyDescent="0.2">
      <c r="A20" s="43" t="s">
        <v>23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>
        <v>416.4</v>
      </c>
      <c r="S20" s="42">
        <f>+R20</f>
        <v>416.4</v>
      </c>
      <c r="T20" s="42"/>
      <c r="U20" s="42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</row>
    <row r="21" spans="1:14152" s="36" customFormat="1" ht="15" customHeight="1" x14ac:dyDescent="0.2">
      <c r="A21" s="39" t="s">
        <v>22</v>
      </c>
      <c r="B21" s="37">
        <v>404</v>
      </c>
      <c r="C21" s="37">
        <v>428</v>
      </c>
      <c r="D21" s="37"/>
      <c r="E21" s="37">
        <f>+C21-B21-D21</f>
        <v>24</v>
      </c>
      <c r="F21" s="37">
        <f>769922/1000</f>
        <v>769.92200000000003</v>
      </c>
      <c r="G21" s="37">
        <f>769922/1000</f>
        <v>769.92200000000003</v>
      </c>
      <c r="H21" s="37"/>
      <c r="I21" s="37">
        <f>+G21-F21-H21</f>
        <v>0</v>
      </c>
      <c r="J21" s="37">
        <v>742</v>
      </c>
      <c r="K21" s="37">
        <v>798</v>
      </c>
      <c r="L21" s="37"/>
      <c r="M21" s="37">
        <f>+K21-J21-L21</f>
        <v>56</v>
      </c>
      <c r="N21" s="37">
        <v>696</v>
      </c>
      <c r="O21" s="37">
        <v>810</v>
      </c>
      <c r="P21" s="37"/>
      <c r="Q21" s="37">
        <f>+O21-N21-P21</f>
        <v>114</v>
      </c>
      <c r="R21" s="37">
        <v>831</v>
      </c>
      <c r="S21" s="37">
        <v>831</v>
      </c>
      <c r="T21" s="37"/>
      <c r="U21" s="37">
        <v>0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</row>
    <row r="22" spans="1:14152" s="32" customFormat="1" ht="15" customHeight="1" x14ac:dyDescent="0.2">
      <c r="A22" s="41" t="s">
        <v>21</v>
      </c>
      <c r="B22" s="34">
        <f t="shared" ref="B22:I22" si="2">SUM(B16:B21)</f>
        <v>16246</v>
      </c>
      <c r="C22" s="34">
        <f t="shared" si="2"/>
        <v>16067</v>
      </c>
      <c r="D22" s="34">
        <f t="shared" si="2"/>
        <v>75</v>
      </c>
      <c r="E22" s="34">
        <f t="shared" si="2"/>
        <v>-254</v>
      </c>
      <c r="F22" s="34">
        <f t="shared" si="2"/>
        <v>16950.420999999998</v>
      </c>
      <c r="G22" s="34">
        <f t="shared" si="2"/>
        <v>17627.911</v>
      </c>
      <c r="H22" s="34">
        <f t="shared" si="2"/>
        <v>726</v>
      </c>
      <c r="I22" s="34">
        <f t="shared" si="2"/>
        <v>-48.509999999999764</v>
      </c>
      <c r="J22" s="34">
        <v>16234</v>
      </c>
      <c r="K22" s="34">
        <v>16233</v>
      </c>
      <c r="L22" s="34">
        <v>568</v>
      </c>
      <c r="M22" s="34">
        <f t="shared" ref="M22:U22" si="3">SUM(M16:M21)</f>
        <v>-569</v>
      </c>
      <c r="N22" s="34">
        <f t="shared" si="3"/>
        <v>16564</v>
      </c>
      <c r="O22" s="34">
        <f t="shared" si="3"/>
        <v>16978</v>
      </c>
      <c r="P22" s="34">
        <f t="shared" si="3"/>
        <v>523</v>
      </c>
      <c r="Q22" s="34">
        <f t="shared" si="3"/>
        <v>-109</v>
      </c>
      <c r="R22" s="34">
        <f t="shared" si="3"/>
        <v>17633.400000000001</v>
      </c>
      <c r="S22" s="34">
        <f t="shared" si="3"/>
        <v>18243.400000000001</v>
      </c>
      <c r="T22" s="34">
        <f t="shared" si="3"/>
        <v>579</v>
      </c>
      <c r="U22" s="34">
        <f t="shared" si="3"/>
        <v>31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</row>
    <row r="23" spans="1:14152" s="36" customFormat="1" ht="15" customHeight="1" x14ac:dyDescent="0.2">
      <c r="A23" s="40" t="s">
        <v>20</v>
      </c>
      <c r="B23" s="37"/>
      <c r="C23" s="37"/>
      <c r="D23" s="37"/>
      <c r="E23" s="37">
        <f>+C23-B23-D23</f>
        <v>0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>
        <f>+O23-N23-P23</f>
        <v>0</v>
      </c>
      <c r="R23" s="37"/>
      <c r="S23" s="37"/>
      <c r="T23" s="37"/>
      <c r="U23" s="3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</row>
    <row r="24" spans="1:14152" s="36" customFormat="1" ht="15" customHeight="1" x14ac:dyDescent="0.2">
      <c r="A24" s="39" t="s">
        <v>19</v>
      </c>
      <c r="B24" s="37">
        <v>2371</v>
      </c>
      <c r="C24" s="37">
        <v>2409</v>
      </c>
      <c r="D24" s="37"/>
      <c r="E24" s="37">
        <f>+C24-B24-D24</f>
        <v>38</v>
      </c>
      <c r="F24" s="37">
        <v>2400</v>
      </c>
      <c r="G24" s="37">
        <v>2412</v>
      </c>
      <c r="H24" s="37"/>
      <c r="I24" s="37">
        <f>+G24-F24-H24</f>
        <v>12</v>
      </c>
      <c r="J24" s="37">
        <v>2603</v>
      </c>
      <c r="K24" s="37">
        <v>2623</v>
      </c>
      <c r="L24" s="37"/>
      <c r="M24" s="37">
        <f>+K24-J24-L24</f>
        <v>20</v>
      </c>
      <c r="N24" s="37">
        <v>2653</v>
      </c>
      <c r="O24" s="37">
        <v>2717</v>
      </c>
      <c r="P24" s="37"/>
      <c r="Q24" s="37">
        <f>+O24-N24-P24</f>
        <v>64</v>
      </c>
      <c r="R24" s="37">
        <v>2619</v>
      </c>
      <c r="S24" s="37">
        <v>2639</v>
      </c>
      <c r="T24" s="37"/>
      <c r="U24" s="37">
        <f>+S24-R24-T24</f>
        <v>20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</row>
    <row r="25" spans="1:14152" s="36" customFormat="1" ht="15" customHeight="1" x14ac:dyDescent="0.2">
      <c r="A25" s="39" t="s">
        <v>18</v>
      </c>
      <c r="B25" s="37">
        <v>855</v>
      </c>
      <c r="C25" s="37">
        <v>836</v>
      </c>
      <c r="D25" s="37"/>
      <c r="E25" s="37">
        <f>+C25-B25-D25</f>
        <v>-19</v>
      </c>
      <c r="F25" s="37">
        <v>891</v>
      </c>
      <c r="G25" s="37">
        <f>830+17</f>
        <v>847</v>
      </c>
      <c r="H25" s="37"/>
      <c r="I25" s="37">
        <f>+G25-F25-H25</f>
        <v>-44</v>
      </c>
      <c r="J25" s="37">
        <v>853</v>
      </c>
      <c r="K25" s="37">
        <v>831</v>
      </c>
      <c r="L25" s="37"/>
      <c r="M25" s="37">
        <f>+K25-J25-L25</f>
        <v>-22</v>
      </c>
      <c r="N25" s="37">
        <v>858</v>
      </c>
      <c r="O25" s="37">
        <v>835</v>
      </c>
      <c r="P25" s="37"/>
      <c r="Q25" s="37">
        <f>+O25-N25-P25</f>
        <v>-23</v>
      </c>
      <c r="R25" s="37">
        <v>881</v>
      </c>
      <c r="S25" s="37">
        <v>882</v>
      </c>
      <c r="T25" s="37"/>
      <c r="U25" s="37">
        <f>+S25-R25-T25</f>
        <v>1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</row>
    <row r="26" spans="1:14152" s="36" customFormat="1" ht="15" customHeight="1" x14ac:dyDescent="0.2">
      <c r="A26" s="39" t="s">
        <v>17</v>
      </c>
      <c r="B26" s="37">
        <v>2195</v>
      </c>
      <c r="C26" s="37">
        <v>1939</v>
      </c>
      <c r="D26" s="37"/>
      <c r="E26" s="37">
        <f>+C26-B26-D26</f>
        <v>-256</v>
      </c>
      <c r="F26" s="37">
        <v>2062</v>
      </c>
      <c r="G26" s="37">
        <f>1894+8</f>
        <v>1902</v>
      </c>
      <c r="H26" s="37"/>
      <c r="I26" s="37">
        <f>+G26-F26-H26</f>
        <v>-160</v>
      </c>
      <c r="J26" s="37">
        <v>2006</v>
      </c>
      <c r="K26" s="37">
        <v>1923</v>
      </c>
      <c r="L26" s="37"/>
      <c r="M26" s="37">
        <f>+K26-J26-L26</f>
        <v>-83</v>
      </c>
      <c r="N26" s="37">
        <v>2063</v>
      </c>
      <c r="O26" s="37">
        <v>1748</v>
      </c>
      <c r="P26" s="37"/>
      <c r="Q26" s="37">
        <f>+O26-N26-P26</f>
        <v>-315</v>
      </c>
      <c r="R26" s="37">
        <v>1967</v>
      </c>
      <c r="S26" s="37">
        <v>1856</v>
      </c>
      <c r="T26" s="37"/>
      <c r="U26" s="37">
        <f>+S26-R26-T26</f>
        <v>-111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</row>
    <row r="27" spans="1:14152" s="36" customFormat="1" ht="15" customHeight="1" x14ac:dyDescent="0.2">
      <c r="A27" s="39" t="s">
        <v>16</v>
      </c>
      <c r="B27" s="38">
        <v>244</v>
      </c>
      <c r="C27" s="38">
        <v>161</v>
      </c>
      <c r="D27" s="38"/>
      <c r="E27" s="37">
        <f>+C27-B27-D27</f>
        <v>-83</v>
      </c>
      <c r="F27" s="38">
        <v>299</v>
      </c>
      <c r="G27" s="38">
        <v>220</v>
      </c>
      <c r="H27" s="38"/>
      <c r="I27" s="37">
        <f>+G27-F27-H27</f>
        <v>-79</v>
      </c>
      <c r="J27" s="38">
        <v>273</v>
      </c>
      <c r="K27" s="38">
        <v>178</v>
      </c>
      <c r="L27" s="38"/>
      <c r="M27" s="37">
        <f>+K27-J27-L27</f>
        <v>-95</v>
      </c>
      <c r="N27" s="38">
        <v>266</v>
      </c>
      <c r="O27" s="38">
        <v>153</v>
      </c>
      <c r="P27" s="38"/>
      <c r="Q27" s="37">
        <f>+O27-N27-P27</f>
        <v>-113</v>
      </c>
      <c r="R27" s="38">
        <v>253</v>
      </c>
      <c r="S27" s="38">
        <v>160</v>
      </c>
      <c r="T27" s="38"/>
      <c r="U27" s="37">
        <f>+S27-R27-T27</f>
        <v>-93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</row>
    <row r="28" spans="1:14152" s="32" customFormat="1" ht="15" customHeight="1" x14ac:dyDescent="0.2">
      <c r="A28" s="35" t="s">
        <v>15</v>
      </c>
      <c r="B28" s="34">
        <f>SUM(B23:B27)</f>
        <v>5665</v>
      </c>
      <c r="C28" s="34">
        <f>SUM(C23:C27)</f>
        <v>5345</v>
      </c>
      <c r="D28" s="34">
        <f>SUM(D23:D27)</f>
        <v>0</v>
      </c>
      <c r="E28" s="34">
        <f>SUM(E23:E27)</f>
        <v>-320</v>
      </c>
      <c r="F28" s="33">
        <f>SUM(F24:F27)</f>
        <v>5652</v>
      </c>
      <c r="G28" s="33">
        <f>SUM(G24:G27)</f>
        <v>5381</v>
      </c>
      <c r="H28" s="33">
        <f>SUM(H24:H27)</f>
        <v>0</v>
      </c>
      <c r="I28" s="33">
        <f>SUM(I24:I27)</f>
        <v>-271</v>
      </c>
      <c r="J28" s="33">
        <v>5735</v>
      </c>
      <c r="K28" s="33">
        <v>5555</v>
      </c>
      <c r="L28" s="33">
        <v>0</v>
      </c>
      <c r="M28" s="33">
        <f>SUM(M24:M27)</f>
        <v>-180</v>
      </c>
      <c r="N28" s="34">
        <f>SUM(N23:N27)</f>
        <v>5840</v>
      </c>
      <c r="O28" s="34">
        <f>SUM(O23:O27)</f>
        <v>5453</v>
      </c>
      <c r="P28" s="34">
        <f>SUM(P23:P27)</f>
        <v>0</v>
      </c>
      <c r="Q28" s="34">
        <f>SUM(Q23:Q27)</f>
        <v>-387</v>
      </c>
      <c r="R28" s="33">
        <f>SUM(R24:R27)</f>
        <v>5720</v>
      </c>
      <c r="S28" s="33">
        <f>SUM(S24:S27)</f>
        <v>5537</v>
      </c>
      <c r="T28" s="33">
        <f>SUM(T24:T27)</f>
        <v>0</v>
      </c>
      <c r="U28" s="33">
        <f>SUM(U24:U27)</f>
        <v>-183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</row>
    <row r="29" spans="1:14152" ht="15" customHeight="1" x14ac:dyDescent="0.25">
      <c r="A29" s="31" t="s">
        <v>14</v>
      </c>
      <c r="B29" s="30">
        <f t="shared" ref="B29:U29" si="4">+B28+B22+B11+B13</f>
        <v>44043.863580000005</v>
      </c>
      <c r="C29" s="30">
        <f t="shared" si="4"/>
        <v>40246.227190000151</v>
      </c>
      <c r="D29" s="30">
        <f t="shared" si="4"/>
        <v>75</v>
      </c>
      <c r="E29" s="30">
        <f t="shared" si="4"/>
        <v>-3871.6363899998496</v>
      </c>
      <c r="F29" s="30">
        <f t="shared" si="4"/>
        <v>45229.488588221255</v>
      </c>
      <c r="G29" s="30">
        <f t="shared" si="4"/>
        <v>43876.010394464</v>
      </c>
      <c r="H29" s="30">
        <f t="shared" si="4"/>
        <v>726</v>
      </c>
      <c r="I29" s="30">
        <f t="shared" si="4"/>
        <v>-2078.4781937572579</v>
      </c>
      <c r="J29" s="30">
        <f t="shared" si="4"/>
        <v>44268.862169453452</v>
      </c>
      <c r="K29" s="30">
        <f t="shared" si="4"/>
        <v>41676.616894464001</v>
      </c>
      <c r="L29" s="30">
        <f t="shared" si="4"/>
        <v>568</v>
      </c>
      <c r="M29" s="30">
        <f t="shared" si="4"/>
        <v>-3160.2452749894524</v>
      </c>
      <c r="N29" s="30">
        <f t="shared" si="4"/>
        <v>45223.284090000001</v>
      </c>
      <c r="O29" s="30">
        <f t="shared" si="4"/>
        <v>41442.537710000455</v>
      </c>
      <c r="P29" s="30">
        <f t="shared" si="4"/>
        <v>523</v>
      </c>
      <c r="Q29" s="30">
        <f t="shared" si="4"/>
        <v>-4302.7463799995403</v>
      </c>
      <c r="R29" s="30">
        <f t="shared" si="4"/>
        <v>45894.816790000004</v>
      </c>
      <c r="S29" s="30">
        <f t="shared" si="4"/>
        <v>45159.756999999998</v>
      </c>
      <c r="T29" s="30">
        <f t="shared" si="4"/>
        <v>579</v>
      </c>
      <c r="U29" s="30">
        <f t="shared" si="4"/>
        <v>-1313.0597899999993</v>
      </c>
    </row>
    <row r="30" spans="1:14152" ht="15" customHeight="1" x14ac:dyDescent="0.25">
      <c r="B30" s="29"/>
      <c r="C30" s="29"/>
      <c r="D30" s="29"/>
      <c r="E30" s="29"/>
      <c r="F30" s="28"/>
      <c r="G30" s="28"/>
      <c r="H30" s="28"/>
      <c r="I30" s="28"/>
      <c r="J30" s="29"/>
      <c r="K30" s="29"/>
      <c r="L30" s="29"/>
      <c r="M30" s="28"/>
      <c r="N30" s="29"/>
      <c r="O30" s="29"/>
      <c r="P30" s="29"/>
      <c r="Q30" s="29"/>
      <c r="R30" s="29"/>
      <c r="S30" s="29"/>
      <c r="T30" s="29"/>
      <c r="U30" s="28"/>
    </row>
    <row r="31" spans="1:14152" ht="15" customHeight="1" x14ac:dyDescent="0.25">
      <c r="B31" s="79" t="s">
        <v>13</v>
      </c>
      <c r="C31" s="80"/>
      <c r="D31" s="81"/>
      <c r="E31" s="27">
        <f>+E29+D29</f>
        <v>-3796.6363899998496</v>
      </c>
      <c r="F31" s="82" t="s">
        <v>10</v>
      </c>
      <c r="G31" s="83"/>
      <c r="H31" s="84"/>
      <c r="I31" s="26">
        <f>+I29+H29</f>
        <v>-1352.4781937572579</v>
      </c>
      <c r="J31" s="85" t="s">
        <v>9</v>
      </c>
      <c r="K31" s="86"/>
      <c r="L31" s="87"/>
      <c r="M31" s="26">
        <f>+M29+L29</f>
        <v>-2592.2452749894524</v>
      </c>
      <c r="N31" s="79" t="s">
        <v>12</v>
      </c>
      <c r="O31" s="80"/>
      <c r="P31" s="81"/>
      <c r="Q31" s="27">
        <f>+Q29+P29</f>
        <v>-3779.7463799995403</v>
      </c>
      <c r="R31" s="85" t="s">
        <v>8</v>
      </c>
      <c r="S31" s="86"/>
      <c r="T31" s="87"/>
      <c r="U31" s="26">
        <f>+U29+T29</f>
        <v>-734.05978999999934</v>
      </c>
    </row>
    <row r="32" spans="1:14152" ht="31.5" x14ac:dyDescent="0.25">
      <c r="A32" s="25" t="s">
        <v>11</v>
      </c>
      <c r="B32" s="24"/>
      <c r="C32" s="24"/>
      <c r="D32" s="24"/>
      <c r="E32" s="23"/>
      <c r="F32" s="24"/>
      <c r="G32" s="24"/>
      <c r="H32" s="24"/>
      <c r="I32" s="23"/>
      <c r="J32" s="22"/>
      <c r="K32" s="22"/>
      <c r="L32" s="22"/>
      <c r="M32" s="21"/>
      <c r="N32" s="24"/>
      <c r="O32" s="24"/>
      <c r="P32" s="24"/>
      <c r="Q32" s="23"/>
      <c r="R32" s="22"/>
      <c r="S32" s="22"/>
      <c r="T32" s="22"/>
      <c r="U32" s="21"/>
    </row>
    <row r="33" spans="1:21" s="2" customFormat="1" ht="15.75" customHeight="1" x14ac:dyDescent="0.2">
      <c r="A33" s="3"/>
      <c r="B33" s="69" t="str">
        <f>+B1</f>
        <v>Réalisé 2024</v>
      </c>
      <c r="C33" s="70"/>
      <c r="D33" s="70"/>
      <c r="E33" s="71"/>
      <c r="F33" s="72" t="s">
        <v>10</v>
      </c>
      <c r="G33" s="72"/>
      <c r="H33" s="72"/>
      <c r="I33" s="73"/>
      <c r="J33" s="76" t="s">
        <v>9</v>
      </c>
      <c r="K33" s="77"/>
      <c r="L33" s="77"/>
      <c r="M33" s="78"/>
      <c r="N33" s="69" t="str">
        <f>+N1</f>
        <v>Réalisé 2025</v>
      </c>
      <c r="O33" s="70"/>
      <c r="P33" s="70"/>
      <c r="Q33" s="71"/>
      <c r="R33" s="76" t="s">
        <v>8</v>
      </c>
      <c r="S33" s="77"/>
      <c r="T33" s="77"/>
      <c r="U33" s="78"/>
    </row>
    <row r="34" spans="1:21" s="2" customFormat="1" ht="63" x14ac:dyDescent="0.2">
      <c r="A34" s="18" t="s">
        <v>7</v>
      </c>
      <c r="B34" s="15" t="s">
        <v>6</v>
      </c>
      <c r="C34" s="15" t="s">
        <v>5</v>
      </c>
      <c r="D34" s="15" t="s">
        <v>4</v>
      </c>
      <c r="E34" s="15" t="s">
        <v>3</v>
      </c>
      <c r="F34" s="17" t="s">
        <v>6</v>
      </c>
      <c r="G34" s="16" t="s">
        <v>5</v>
      </c>
      <c r="H34" s="16" t="s">
        <v>4</v>
      </c>
      <c r="I34" s="16" t="s">
        <v>3</v>
      </c>
      <c r="J34" s="14" t="s">
        <v>6</v>
      </c>
      <c r="K34" s="14" t="s">
        <v>5</v>
      </c>
      <c r="L34" s="14" t="s">
        <v>4</v>
      </c>
      <c r="M34" s="14" t="s">
        <v>3</v>
      </c>
      <c r="N34" s="15" t="s">
        <v>6</v>
      </c>
      <c r="O34" s="15" t="s">
        <v>5</v>
      </c>
      <c r="P34" s="15" t="s">
        <v>4</v>
      </c>
      <c r="Q34" s="15" t="s">
        <v>3</v>
      </c>
      <c r="R34" s="14" t="s">
        <v>6</v>
      </c>
      <c r="S34" s="14" t="s">
        <v>5</v>
      </c>
      <c r="T34" s="14" t="s">
        <v>4</v>
      </c>
      <c r="U34" s="14" t="s">
        <v>3</v>
      </c>
    </row>
    <row r="35" spans="1:21" s="2" customFormat="1" ht="15" customHeight="1" x14ac:dyDescent="0.2">
      <c r="A35" s="13" t="s">
        <v>47</v>
      </c>
      <c r="B35" s="12">
        <f>591-156</f>
        <v>435</v>
      </c>
      <c r="C35" s="12">
        <v>35</v>
      </c>
      <c r="D35" s="12"/>
      <c r="E35" s="6">
        <f>+B35-C35-D35</f>
        <v>400</v>
      </c>
      <c r="F35" s="12">
        <v>170</v>
      </c>
      <c r="G35" s="12"/>
      <c r="H35" s="12"/>
      <c r="I35" s="6">
        <f>+F35-G35-H35</f>
        <v>170</v>
      </c>
      <c r="J35" s="12">
        <v>70</v>
      </c>
      <c r="K35" s="12">
        <v>0</v>
      </c>
      <c r="L35" s="12">
        <v>0</v>
      </c>
      <c r="M35" s="6">
        <f t="shared" ref="M35:M40" si="5">+J35-K35-L35</f>
        <v>70</v>
      </c>
      <c r="N35" s="12">
        <v>89</v>
      </c>
      <c r="O35" s="12">
        <v>0</v>
      </c>
      <c r="P35" s="12">
        <v>0</v>
      </c>
      <c r="Q35" s="6">
        <f t="shared" ref="Q35:Q40" si="6">+N35-O35-P35</f>
        <v>89</v>
      </c>
      <c r="R35" s="12">
        <v>303</v>
      </c>
      <c r="S35" s="12">
        <v>0</v>
      </c>
      <c r="T35" s="12">
        <v>0</v>
      </c>
      <c r="U35" s="6">
        <f t="shared" ref="U35:U40" si="7">+R35-S35-T35</f>
        <v>303</v>
      </c>
    </row>
    <row r="36" spans="1:21" s="2" customFormat="1" ht="15" customHeight="1" x14ac:dyDescent="0.2">
      <c r="A36" s="11" t="s">
        <v>2</v>
      </c>
      <c r="B36" s="12">
        <v>2208</v>
      </c>
      <c r="C36" s="12"/>
      <c r="D36" s="10">
        <v>2000</v>
      </c>
      <c r="E36" s="7">
        <f>+B36-C36-D36</f>
        <v>208</v>
      </c>
      <c r="F36" s="12">
        <v>1000</v>
      </c>
      <c r="G36" s="12"/>
      <c r="H36" s="10"/>
      <c r="I36" s="6">
        <f>+F36-G36-H36</f>
        <v>1000</v>
      </c>
      <c r="J36" s="12">
        <v>1225</v>
      </c>
      <c r="K36" s="12">
        <v>0</v>
      </c>
      <c r="L36" s="10">
        <v>0</v>
      </c>
      <c r="M36" s="6">
        <f t="shared" si="5"/>
        <v>1225</v>
      </c>
      <c r="N36" s="12">
        <v>1237</v>
      </c>
      <c r="O36" s="12">
        <v>0</v>
      </c>
      <c r="P36" s="10">
        <v>0</v>
      </c>
      <c r="Q36" s="7">
        <f t="shared" si="6"/>
        <v>1237</v>
      </c>
      <c r="R36" s="12">
        <v>0</v>
      </c>
      <c r="S36" s="12">
        <v>0</v>
      </c>
      <c r="T36" s="10">
        <v>0</v>
      </c>
      <c r="U36" s="6">
        <f t="shared" si="7"/>
        <v>0</v>
      </c>
    </row>
    <row r="37" spans="1:21" s="2" customFormat="1" ht="15" customHeight="1" x14ac:dyDescent="0.2">
      <c r="A37" s="11" t="s">
        <v>1</v>
      </c>
      <c r="B37" s="12"/>
      <c r="C37" s="12"/>
      <c r="D37" s="10"/>
      <c r="E37" s="7"/>
      <c r="F37" s="12"/>
      <c r="G37" s="12"/>
      <c r="H37" s="10"/>
      <c r="I37" s="6"/>
      <c r="J37" s="12">
        <f>117+71</f>
        <v>188</v>
      </c>
      <c r="K37" s="12">
        <v>0</v>
      </c>
      <c r="L37" s="10">
        <v>0</v>
      </c>
      <c r="M37" s="6">
        <f t="shared" si="5"/>
        <v>188</v>
      </c>
      <c r="N37" s="12">
        <v>156</v>
      </c>
      <c r="O37" s="12">
        <v>0</v>
      </c>
      <c r="P37" s="10">
        <v>0</v>
      </c>
      <c r="Q37" s="7">
        <f t="shared" si="6"/>
        <v>156</v>
      </c>
      <c r="R37" s="12">
        <v>120</v>
      </c>
      <c r="S37" s="12">
        <v>0</v>
      </c>
      <c r="T37" s="10">
        <v>0</v>
      </c>
      <c r="U37" s="6">
        <f t="shared" si="7"/>
        <v>120</v>
      </c>
    </row>
    <row r="38" spans="1:21" s="2" customFormat="1" ht="15" customHeight="1" x14ac:dyDescent="0.2">
      <c r="A38" s="11" t="s">
        <v>48</v>
      </c>
      <c r="B38" s="10">
        <f>347+109</f>
        <v>456</v>
      </c>
      <c r="C38" s="10"/>
      <c r="D38" s="10"/>
      <c r="E38" s="7">
        <f>+B38-C38-D38</f>
        <v>456</v>
      </c>
      <c r="F38" s="10">
        <v>450</v>
      </c>
      <c r="G38" s="10"/>
      <c r="H38" s="10"/>
      <c r="I38" s="6">
        <f>+F38-G38-H38</f>
        <v>450</v>
      </c>
      <c r="J38" s="10">
        <v>450</v>
      </c>
      <c r="K38" s="10">
        <v>0</v>
      </c>
      <c r="L38" s="10">
        <v>0</v>
      </c>
      <c r="M38" s="6">
        <f t="shared" si="5"/>
        <v>450</v>
      </c>
      <c r="N38" s="10">
        <f>+'[2]investissements SIEGE'!F49/1000</f>
        <v>345.51</v>
      </c>
      <c r="O38" s="10">
        <v>0</v>
      </c>
      <c r="P38" s="10">
        <v>0</v>
      </c>
      <c r="Q38" s="7">
        <f t="shared" si="6"/>
        <v>345.51</v>
      </c>
      <c r="R38" s="10">
        <v>301</v>
      </c>
      <c r="S38" s="10">
        <v>0</v>
      </c>
      <c r="T38" s="10">
        <v>0</v>
      </c>
      <c r="U38" s="6">
        <f t="shared" si="7"/>
        <v>301</v>
      </c>
    </row>
    <row r="39" spans="1:21" s="2" customFormat="1" ht="15" customHeight="1" x14ac:dyDescent="0.2">
      <c r="A39" s="9" t="s">
        <v>49</v>
      </c>
      <c r="B39" s="7">
        <v>559</v>
      </c>
      <c r="C39" s="7"/>
      <c r="D39" s="7">
        <v>173</v>
      </c>
      <c r="E39" s="7">
        <f>+B39-C39-D39</f>
        <v>386</v>
      </c>
      <c r="F39" s="7"/>
      <c r="G39" s="7"/>
      <c r="H39" s="7">
        <v>901</v>
      </c>
      <c r="I39" s="6">
        <f>+F39-G39-H39</f>
        <v>-901</v>
      </c>
      <c r="J39" s="7">
        <v>0</v>
      </c>
      <c r="K39" s="7">
        <v>0</v>
      </c>
      <c r="L39" s="7">
        <v>285</v>
      </c>
      <c r="M39" s="6">
        <f t="shared" si="5"/>
        <v>-285</v>
      </c>
      <c r="N39" s="7">
        <v>0</v>
      </c>
      <c r="O39" s="7">
        <v>0</v>
      </c>
      <c r="P39" s="7">
        <v>285</v>
      </c>
      <c r="Q39" s="7">
        <f t="shared" si="6"/>
        <v>-285</v>
      </c>
      <c r="R39" s="7">
        <v>0</v>
      </c>
      <c r="S39" s="7">
        <v>0</v>
      </c>
      <c r="T39" s="7">
        <v>1000</v>
      </c>
      <c r="U39" s="6">
        <f t="shared" si="7"/>
        <v>-1000</v>
      </c>
    </row>
    <row r="40" spans="1:21" s="2" customFormat="1" ht="15" customHeight="1" x14ac:dyDescent="0.2">
      <c r="A40" s="8" t="s">
        <v>50</v>
      </c>
      <c r="B40" s="7">
        <v>775</v>
      </c>
      <c r="C40" s="7">
        <v>5</v>
      </c>
      <c r="D40" s="7"/>
      <c r="E40" s="7">
        <f>+B40-C40-D40</f>
        <v>770</v>
      </c>
      <c r="F40" s="7">
        <f>(78424+55666+31474+245680+79250)/1000</f>
        <v>490.49400000000003</v>
      </c>
      <c r="G40" s="7"/>
      <c r="H40" s="7"/>
      <c r="I40" s="6">
        <f>+F40-G40-H40</f>
        <v>490.49400000000003</v>
      </c>
      <c r="J40" s="7">
        <v>490</v>
      </c>
      <c r="K40" s="7">
        <v>0</v>
      </c>
      <c r="L40" s="7">
        <v>0</v>
      </c>
      <c r="M40" s="6">
        <f t="shared" si="5"/>
        <v>490</v>
      </c>
      <c r="N40" s="7">
        <v>889</v>
      </c>
      <c r="O40" s="7">
        <v>271</v>
      </c>
      <c r="P40" s="7">
        <v>0</v>
      </c>
      <c r="Q40" s="7">
        <f t="shared" si="6"/>
        <v>618</v>
      </c>
      <c r="R40" s="7">
        <v>1536</v>
      </c>
      <c r="S40" s="7">
        <v>0</v>
      </c>
      <c r="T40" s="7">
        <v>0</v>
      </c>
      <c r="U40" s="6">
        <f t="shared" si="7"/>
        <v>1536</v>
      </c>
    </row>
    <row r="41" spans="1:21" s="2" customFormat="1" ht="15" customHeight="1" x14ac:dyDescent="0.2">
      <c r="A41" s="5" t="s">
        <v>0</v>
      </c>
      <c r="B41" s="4">
        <f t="shared" ref="B41:H41" si="8">SUM(B35:B40)</f>
        <v>4433</v>
      </c>
      <c r="C41" s="4">
        <f t="shared" si="8"/>
        <v>40</v>
      </c>
      <c r="D41" s="4">
        <f t="shared" si="8"/>
        <v>2173</v>
      </c>
      <c r="E41" s="4">
        <f t="shared" si="8"/>
        <v>2220</v>
      </c>
      <c r="F41" s="4">
        <f t="shared" si="8"/>
        <v>2110.4940000000001</v>
      </c>
      <c r="G41" s="4">
        <f t="shared" si="8"/>
        <v>0</v>
      </c>
      <c r="H41" s="4">
        <f t="shared" si="8"/>
        <v>901</v>
      </c>
      <c r="I41" s="4">
        <f>SUM(I35:I40)+1</f>
        <v>1210.4940000000001</v>
      </c>
      <c r="J41" s="4">
        <f t="shared" ref="J41:U41" si="9">SUM(J35:J40)</f>
        <v>2423</v>
      </c>
      <c r="K41" s="4">
        <f t="shared" si="9"/>
        <v>0</v>
      </c>
      <c r="L41" s="4">
        <f t="shared" si="9"/>
        <v>285</v>
      </c>
      <c r="M41" s="4">
        <f t="shared" si="9"/>
        <v>2138</v>
      </c>
      <c r="N41" s="4">
        <f t="shared" si="9"/>
        <v>2716.51</v>
      </c>
      <c r="O41" s="4">
        <f t="shared" si="9"/>
        <v>271</v>
      </c>
      <c r="P41" s="4">
        <f t="shared" si="9"/>
        <v>285</v>
      </c>
      <c r="Q41" s="4">
        <f t="shared" si="9"/>
        <v>2160.5100000000002</v>
      </c>
      <c r="R41" s="4">
        <f t="shared" si="9"/>
        <v>2260</v>
      </c>
      <c r="S41" s="4">
        <f t="shared" si="9"/>
        <v>0</v>
      </c>
      <c r="T41" s="4">
        <f t="shared" si="9"/>
        <v>1000</v>
      </c>
      <c r="U41" s="4">
        <f t="shared" si="9"/>
        <v>1260</v>
      </c>
    </row>
  </sheetData>
  <mergeCells count="15">
    <mergeCell ref="B31:D31"/>
    <mergeCell ref="F31:H31"/>
    <mergeCell ref="J31:L31"/>
    <mergeCell ref="N31:P31"/>
    <mergeCell ref="R31:T31"/>
    <mergeCell ref="B33:E33"/>
    <mergeCell ref="F33:I33"/>
    <mergeCell ref="J33:M33"/>
    <mergeCell ref="N33:Q33"/>
    <mergeCell ref="R33:U33"/>
    <mergeCell ref="B1:E1"/>
    <mergeCell ref="F1:I1"/>
    <mergeCell ref="J1:M1"/>
    <mergeCell ref="N1:Q1"/>
    <mergeCell ref="R1:U1"/>
  </mergeCells>
  <printOptions horizontalCentered="1" verticalCentered="1"/>
  <pageMargins left="0" right="0" top="0.35433070866141736" bottom="0.35433070866141736" header="0.31496062992125984" footer="0.31496062992125984"/>
  <pageSetup paperSize="9" scale="69" orientation="landscape" r:id="rId1"/>
  <headerFooter>
    <oddHeader>&amp;C&amp;20Synthèse des résultats et des budgets AVH
 Siège  et Etablissements</oddHeader>
    <oddFooter xml:space="preserve">&amp;L&amp;F&amp;C&amp;A&amp;R&amp;D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AF87C3E6B6CC4DAF2D84FE693E64ED" ma:contentTypeVersion="18" ma:contentTypeDescription="Crée un document." ma:contentTypeScope="" ma:versionID="a12310d4d63edaea7a9cfeb1ec85939e">
  <xsd:schema xmlns:xsd="http://www.w3.org/2001/XMLSchema" xmlns:xs="http://www.w3.org/2001/XMLSchema" xmlns:p="http://schemas.microsoft.com/office/2006/metadata/properties" xmlns:ns2="ed7edb99-f1b8-4ad8-9751-555af8e1a1f7" xmlns:ns3="ccfd5d16-32d1-4aa4-92a0-deab1eeea9ad" targetNamespace="http://schemas.microsoft.com/office/2006/metadata/properties" ma:root="true" ma:fieldsID="f4902c1e4c12dc60c20fbe9f51803eed" ns2:_="" ns3:_="">
    <xsd:import namespace="ed7edb99-f1b8-4ad8-9751-555af8e1a1f7"/>
    <xsd:import namespace="ccfd5d16-32d1-4aa4-92a0-deab1eeea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edb99-f1b8-4ad8-9751-555af8e1a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5f817617-d30b-442d-a0f7-658d62f25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d5d16-32d1-4aa4-92a0-deab1eeea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79589e3-2987-4717-88a4-c518228fc5e1}" ma:internalName="TaxCatchAll" ma:showField="CatchAllData" ma:web="ccfd5d16-32d1-4aa4-92a0-deab1eeea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7edb99-f1b8-4ad8-9751-555af8e1a1f7">
      <Terms xmlns="http://schemas.microsoft.com/office/infopath/2007/PartnerControls"/>
    </lcf76f155ced4ddcb4097134ff3c332f>
    <TaxCatchAll xmlns="ccfd5d16-32d1-4aa4-92a0-deab1eeea9ad" xsi:nil="true"/>
  </documentManagement>
</p:properties>
</file>

<file path=customXml/itemProps1.xml><?xml version="1.0" encoding="utf-8"?>
<ds:datastoreItem xmlns:ds="http://schemas.openxmlformats.org/officeDocument/2006/customXml" ds:itemID="{6A68E89B-70D3-4C75-A93E-455FA8CF03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7edb99-f1b8-4ad8-9751-555af8e1a1f7"/>
    <ds:schemaRef ds:uri="ccfd5d16-32d1-4aa4-92a0-deab1eeea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DC8C7E-3A4C-46BE-AD0F-3D01D4A5D6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1D1A3E-24C0-4DE3-9A23-15FCCB884ED8}">
  <ds:schemaRefs>
    <ds:schemaRef ds:uri="http://schemas.microsoft.com/office/2006/metadata/properties"/>
    <ds:schemaRef ds:uri="http://schemas.microsoft.com/office/infopath/2007/PartnerControls"/>
    <ds:schemaRef ds:uri="a8cfc3bc-23c3-4ce2-85cf-e18f5ec646d1"/>
    <ds:schemaRef ds:uri="5526cd20-564b-49ad-9bbd-2c335469b3f7"/>
    <ds:schemaRef ds:uri="ed7edb99-f1b8-4ad8-9751-555af8e1a1f7"/>
    <ds:schemaRef ds:uri="ccfd5d16-32d1-4aa4-92a0-deab1eeea9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synthese par entite</vt:lpstr>
      <vt:lpstr>'synthese par entite'!Zone_d_impression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SITRUK Hillel</dc:creator>
  <cp:lastModifiedBy>LIMA Marie-Christine</cp:lastModifiedBy>
  <dcterms:created xsi:type="dcterms:W3CDTF">2026-05-27T15:24:04Z</dcterms:created>
  <dcterms:modified xsi:type="dcterms:W3CDTF">2026-06-01T14:58:51Z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0x01010032AF87C3E6B6CC4DAF2D84FE693E64ED</vt:lpwstr>
  </property>
  <property fmtid="{D5CDD505-2E9C-101B-9397-08002B2CF9AE}" pid="3" name="MediaServiceImageTags">
    <vt:lpwstr/>
  </property>
</Properties>
</file>